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D:\SAS\Сайт\Esmil\Решетки\Барабанные роторные решетки\"/>
    </mc:Choice>
  </mc:AlternateContent>
  <xr:revisionPtr revIDLastSave="0" documentId="13_ncr:1_{CB9AC204-FCA8-48DC-8BEC-8351ED08B6A9}" xr6:coauthVersionLast="47" xr6:coauthVersionMax="47" xr10:uidLastSave="{00000000-0000-0000-0000-000000000000}"/>
  <workbookProtection workbookPassword="98F8" lockStructure="1"/>
  <bookViews>
    <workbookView xWindow="-120" yWindow="-120" windowWidth="20730" windowHeight="11160" xr2:uid="{00000000-000D-0000-FFFF-FFFF00000000}"/>
  </bookViews>
  <sheets>
    <sheet name="Screens" sheetId="6" r:id="rId1"/>
    <sheet name="ENG" sheetId="13" state="hidden" r:id="rId2"/>
    <sheet name="RUS" sheetId="10" state="hidden" r:id="rId3"/>
    <sheet name="US ENG" sheetId="14" state="hidden" r:id="rId4"/>
    <sheet name="POL" sheetId="16" state="hidden" r:id="rId5"/>
  </sheets>
  <externalReferences>
    <externalReference r:id="rId6"/>
  </externalReferences>
  <definedNames>
    <definedName name="Automatisation" localSheetId="1">ENG!$K$67</definedName>
    <definedName name="Automatisation" localSheetId="4">POL!$K$67</definedName>
    <definedName name="Automatisation" localSheetId="2">RUS!$K$67</definedName>
    <definedName name="Automatisation" localSheetId="0">Screens!$L$65</definedName>
    <definedName name="Automatisation" localSheetId="3">'US ENG'!$K$67</definedName>
    <definedName name="Automatisation">#REF!</definedName>
    <definedName name="Discharge_height" localSheetId="1">ENG!$K$52:$K$53</definedName>
    <definedName name="Discharge_height" localSheetId="4">POL!$K$52:$K$53</definedName>
    <definedName name="Discharge_height" localSheetId="2">RUS!$K$52:$K$53</definedName>
    <definedName name="Discharge_height" localSheetId="0">Screens!$L$50:$L$51</definedName>
    <definedName name="Discharge_height" localSheetId="3">'US ENG'!$K$52:$K$53</definedName>
    <definedName name="Discharge_height">#REF!</definedName>
    <definedName name="Filtering_mesh" localSheetId="1">ENG!$R$17:$R$18</definedName>
    <definedName name="Filtering_mesh" localSheetId="4">POL!$R$17:$R$18</definedName>
    <definedName name="Filtering_mesh" localSheetId="2">RUS!$R$17:$R$18</definedName>
    <definedName name="Filtering_mesh" localSheetId="0">Screens!$S$16:$S$17</definedName>
    <definedName name="Filtering_mesh" localSheetId="3">'US ENG'!$R$17:$R$18</definedName>
    <definedName name="Filtering_mesh">#REF!</definedName>
    <definedName name="Hydraulics2" localSheetId="1">ENG!$O$46:$O$47</definedName>
    <definedName name="Hydraulics2" localSheetId="4">POL!$O$46:$O$47</definedName>
    <definedName name="Hydraulics2" localSheetId="2">RUS!$O$46:$O$47</definedName>
    <definedName name="Hydraulics2" localSheetId="0">Screens!$P$44:$P$45</definedName>
    <definedName name="Hydraulics2" localSheetId="3">'US ENG'!$O$46:$O$47</definedName>
    <definedName name="Hydraulics2">#REF!</definedName>
    <definedName name="Installation" localSheetId="1">ENG!$K$32:$K$35</definedName>
    <definedName name="Installation" localSheetId="4">POL!$K$32:$K$35</definedName>
    <definedName name="Installation" localSheetId="2">RUS!$K$32:$K$35</definedName>
    <definedName name="Installation" localSheetId="0">Screens!$L$30:$L$34</definedName>
    <definedName name="Installation" localSheetId="3">'US ENG'!$K$32:$K$35</definedName>
    <definedName name="Installation">#REF!</definedName>
    <definedName name="Location" localSheetId="1">ENG!$K$29:$K$31</definedName>
    <definedName name="Location" localSheetId="4">POL!$K$29:$K$31</definedName>
    <definedName name="Location" localSheetId="2">RUS!$K$29:$K$31</definedName>
    <definedName name="Location" localSheetId="0">Screens!$L$27:$L$29</definedName>
    <definedName name="Location" localSheetId="3">'US ENG'!$K$29:$K$31</definedName>
    <definedName name="Location">#REF!</definedName>
    <definedName name="Material" localSheetId="1">ENG!$K$56:$K$60</definedName>
    <definedName name="Material" localSheetId="4">POL!$K$56:$K$60</definedName>
    <definedName name="Material" localSheetId="2">RUS!$K$56:$K$60</definedName>
    <definedName name="Material" localSheetId="0">Screens!$L$54:$L$58</definedName>
    <definedName name="Material" localSheetId="3">'US ENG'!$K$56:$K$60</definedName>
    <definedName name="Material">#REF!</definedName>
    <definedName name="Motor_reductor" localSheetId="1">ENG!$K$69:$K$73</definedName>
    <definedName name="Motor_reductor" localSheetId="4">POL!$K$69:$K$73</definedName>
    <definedName name="Motor_reductor" localSheetId="2">RUS!$K$69:$K$73</definedName>
    <definedName name="Motor_reductor" localSheetId="0">Screens!$L$67:$L$71</definedName>
    <definedName name="Motor_reductor" localSheetId="3">'US ENG'!$K$69:$K$73</definedName>
    <definedName name="Motor_reductor">#REF!</definedName>
    <definedName name="RVO" localSheetId="1">ENG!$Q$19:$Q$23</definedName>
    <definedName name="RVO" localSheetId="4">POL!$Q$19:$Q$23</definedName>
    <definedName name="RVO" localSheetId="2">RUS!$Q$19:$Q$23</definedName>
    <definedName name="RVO" localSheetId="0">Screens!$R$18:$R$22</definedName>
    <definedName name="RVO" localSheetId="3">'US ENG'!$Q$19:$Q$23</definedName>
    <definedName name="RVO">#REF!</definedName>
    <definedName name="Screw_type" localSheetId="1">ENG!$R$24:$R$27</definedName>
    <definedName name="Screw_type" localSheetId="4">POL!$R$24:$R$27</definedName>
    <definedName name="Screw_type" localSheetId="2">RUS!$R$24:$R$27</definedName>
    <definedName name="Screw_type" localSheetId="0">Screens!$S$23:$S$25</definedName>
    <definedName name="Screw_type" localSheetId="3">'US ENG'!$R$24:$R$27</definedName>
    <definedName name="Screw_type">#REF!</definedName>
    <definedName name="WW_feeding" localSheetId="1">ENG!$K$43:$K$44</definedName>
    <definedName name="WW_feeding" localSheetId="4">POL!$K$43:$K$44</definedName>
    <definedName name="WW_feeding" localSheetId="2">RUS!$K$43:$K$44</definedName>
    <definedName name="WW_feeding" localSheetId="0">Screens!$L$41:$L$42</definedName>
    <definedName name="WW_feeding" localSheetId="3">'US ENG'!$K$43:$K$44</definedName>
    <definedName name="WW_feeding">#REF!</definedName>
    <definedName name="WW_type" localSheetId="1">ENG!$K$17:$K$18</definedName>
    <definedName name="WW_type" localSheetId="4">POL!$K$17:$K$18</definedName>
    <definedName name="WW_type" localSheetId="2">RUS!$K$17:$K$18</definedName>
    <definedName name="WW_type" localSheetId="0">Screens!$L$16:$L$17</definedName>
    <definedName name="WW_type" localSheetId="3">'US ENG'!$K$17:$K$18</definedName>
    <definedName name="WW_type">#REF!</definedName>
    <definedName name="Yes_No" localSheetId="1">ENG!$L$65:$L$66</definedName>
    <definedName name="Yes_No" localSheetId="4">POL!$L$65:$L$66</definedName>
    <definedName name="Yes_No" localSheetId="2">RUS!$L$65:$L$66</definedName>
    <definedName name="Yes_No" localSheetId="0">Screens!$M$63:$M$64</definedName>
    <definedName name="Yes_No" localSheetId="3">'US ENG'!$L$65:$L$66</definedName>
    <definedName name="Yes_No">#REF!</definedName>
    <definedName name="_xlnm.Print_Area" localSheetId="1">ENG!#REF!</definedName>
    <definedName name="_xlnm.Print_Area" localSheetId="4">POL!#REF!</definedName>
    <definedName name="_xlnm.Print_Area" localSheetId="2">RUS!#REF!</definedName>
    <definedName name="_xlnm.Print_Area" localSheetId="0">Screens!#REF!</definedName>
    <definedName name="_xlnm.Print_Area" localSheetId="3">'US ENG'!#REF!</definedName>
    <definedName name="ШУ" localSheetId="1">ENG!$L$65:$L$67</definedName>
    <definedName name="ШУ" localSheetId="4">POL!$L$65:$L$67</definedName>
    <definedName name="ШУ" localSheetId="2">RUS!$L$65:$L$67</definedName>
    <definedName name="ШУ" localSheetId="0">Screens!$M$63:$M$65</definedName>
    <definedName name="ШУ" localSheetId="3">'US ENG'!$L$65:$L$67</definedName>
    <definedName name="ШУ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10" l="1"/>
  <c r="B34" i="6"/>
  <c r="B35" i="6"/>
  <c r="B2" i="6"/>
  <c r="B1" i="6"/>
  <c r="C33" i="6"/>
  <c r="D9" i="16" l="1"/>
  <c r="E10" i="16" s="1"/>
  <c r="B42" i="6"/>
  <c r="D36" i="16" l="1"/>
  <c r="E36" i="16" l="1"/>
  <c r="B37" i="16"/>
  <c r="D22" i="16"/>
  <c r="D21" i="16"/>
  <c r="F18" i="16" s="1"/>
  <c r="K6" i="6"/>
  <c r="B37" i="6"/>
  <c r="B27" i="16" l="1"/>
  <c r="B28" i="16"/>
  <c r="B25" i="16"/>
  <c r="B26" i="16"/>
  <c r="D30" i="16"/>
  <c r="D30" i="14"/>
  <c r="D30" i="13" l="1"/>
  <c r="D30" i="10"/>
  <c r="C2" i="16" l="1"/>
  <c r="E22" i="16" s="1"/>
  <c r="C2" i="14"/>
  <c r="C2" i="13"/>
  <c r="B42" i="16" l="1"/>
  <c r="B41" i="16"/>
  <c r="B40" i="16"/>
  <c r="B41" i="13"/>
  <c r="D24" i="16"/>
  <c r="E21" i="16"/>
  <c r="C14" i="16"/>
  <c r="B31" i="6"/>
  <c r="B32" i="6"/>
  <c r="C32" i="6"/>
  <c r="E18" i="16" l="1"/>
  <c r="B18" i="16"/>
  <c r="E9" i="16"/>
  <c r="J12" i="6"/>
  <c r="D36" i="14" l="1"/>
  <c r="B42" i="14" s="1"/>
  <c r="D24" i="14"/>
  <c r="D22" i="14"/>
  <c r="D21" i="14"/>
  <c r="F18" i="14" s="1"/>
  <c r="D9" i="14"/>
  <c r="E10" i="14" s="1"/>
  <c r="D24" i="13"/>
  <c r="D36" i="13"/>
  <c r="D22" i="13"/>
  <c r="D21" i="13"/>
  <c r="F18" i="13" s="1"/>
  <c r="D9" i="13"/>
  <c r="B42" i="13" l="1"/>
  <c r="E36" i="13"/>
  <c r="E22" i="13"/>
  <c r="B26" i="13"/>
  <c r="B25" i="13"/>
  <c r="E22" i="14"/>
  <c r="B26" i="14"/>
  <c r="B25" i="14"/>
  <c r="E36" i="14"/>
  <c r="E21" i="13"/>
  <c r="B27" i="13"/>
  <c r="B40" i="13"/>
  <c r="E9" i="13"/>
  <c r="E10" i="13"/>
  <c r="B41" i="14"/>
  <c r="B40" i="14"/>
  <c r="B28" i="14"/>
  <c r="B27" i="14"/>
  <c r="E21" i="14"/>
  <c r="E18" i="14"/>
  <c r="B18" i="14"/>
  <c r="E18" i="13"/>
  <c r="B18" i="13"/>
  <c r="B37" i="14"/>
  <c r="B37" i="13"/>
  <c r="B28" i="13"/>
  <c r="C14" i="14"/>
  <c r="C14" i="13"/>
  <c r="E9" i="14"/>
  <c r="C2" i="10"/>
  <c r="D22" i="10"/>
  <c r="B26" i="10" s="1"/>
  <c r="B22" i="6"/>
  <c r="B29" i="6"/>
  <c r="B28" i="6"/>
  <c r="B25" i="6"/>
  <c r="J11" i="6"/>
  <c r="J7" i="6"/>
  <c r="K11" i="6"/>
  <c r="K10" i="6"/>
  <c r="C11" i="6"/>
  <c r="B23" i="6"/>
  <c r="J10" i="6"/>
  <c r="J8" i="6"/>
  <c r="J5" i="6"/>
  <c r="J3" i="6"/>
  <c r="J6" i="6"/>
  <c r="L11" i="6"/>
  <c r="L10" i="6"/>
  <c r="B30" i="6"/>
  <c r="J9" i="6"/>
  <c r="J4" i="6"/>
  <c r="L12" i="6"/>
  <c r="J2" i="6"/>
  <c r="B25" i="10" l="1"/>
  <c r="E22" i="10"/>
  <c r="B41" i="10"/>
  <c r="B40" i="10"/>
  <c r="B28" i="10"/>
  <c r="B27" i="10"/>
  <c r="D36" i="10"/>
  <c r="B42" i="10" s="1"/>
  <c r="D21" i="10"/>
  <c r="F18" i="10" s="1"/>
  <c r="D9" i="10"/>
  <c r="E10" i="10" s="1"/>
  <c r="C14" i="6"/>
  <c r="B4" i="6"/>
  <c r="E21" i="6"/>
  <c r="C15" i="6"/>
  <c r="D5" i="6"/>
  <c r="B39" i="6"/>
  <c r="B40" i="6"/>
  <c r="B8" i="6"/>
  <c r="K8" i="6"/>
  <c r="H3" i="6"/>
  <c r="K3" i="6"/>
  <c r="B21" i="6"/>
  <c r="L3" i="6"/>
  <c r="B10" i="6"/>
  <c r="B20" i="6"/>
  <c r="C19" i="6"/>
  <c r="L9" i="6"/>
  <c r="C10" i="6"/>
  <c r="C17" i="6"/>
  <c r="B3" i="6"/>
  <c r="K5" i="6"/>
  <c r="B7" i="6"/>
  <c r="B6" i="6"/>
  <c r="H4" i="6"/>
  <c r="F17" i="6"/>
  <c r="L2" i="6"/>
  <c r="D6" i="6"/>
  <c r="L5" i="6"/>
  <c r="K9" i="6"/>
  <c r="C12" i="6"/>
  <c r="L8" i="6"/>
  <c r="L4" i="6"/>
  <c r="C18" i="6"/>
  <c r="K2" i="6"/>
  <c r="L6" i="6"/>
  <c r="D3" i="6"/>
  <c r="B26" i="6"/>
  <c r="B24" i="6"/>
  <c r="B5" i="6"/>
  <c r="D4" i="6"/>
  <c r="C16" i="6"/>
  <c r="B14" i="6"/>
  <c r="B27" i="6"/>
  <c r="E36" i="10" l="1"/>
  <c r="B37" i="10"/>
  <c r="B18" i="10"/>
  <c r="E18" i="10"/>
  <c r="E21" i="10"/>
  <c r="C14" i="10"/>
  <c r="E9" i="10"/>
  <c r="E35" i="6"/>
  <c r="E17" i="6"/>
  <c r="E9" i="6"/>
  <c r="B36" i="6"/>
  <c r="E8" i="6"/>
  <c r="C13" i="6"/>
  <c r="B41" i="6"/>
  <c r="E20" i="6"/>
  <c r="B17" i="6"/>
</calcChain>
</file>

<file path=xl/sharedStrings.xml><?xml version="1.0" encoding="utf-8"?>
<sst xmlns="http://schemas.openxmlformats.org/spreadsheetml/2006/main" count="1167" uniqueCount="290">
  <si>
    <t>Тип сточных вод</t>
  </si>
  <si>
    <t>Размещение</t>
  </si>
  <si>
    <t>Ширина, мм:</t>
  </si>
  <si>
    <t>Глубина, мм:</t>
  </si>
  <si>
    <t>Расход сточных вод Q, л/с</t>
  </si>
  <si>
    <t>Q мин:</t>
  </si>
  <si>
    <t>Q ср:</t>
  </si>
  <si>
    <t>Режим подачи сточных вод в подводящие каналы</t>
  </si>
  <si>
    <t>Требуемые прозоры полотна решетки, мм:</t>
  </si>
  <si>
    <t>Уровень воды в канале за существующей решеткой (или без нее) при соответствующем расходе, мм</t>
  </si>
  <si>
    <t>При Q макс:</t>
  </si>
  <si>
    <t>При Q мин:</t>
  </si>
  <si>
    <t>При Q ср:</t>
  </si>
  <si>
    <t>Материал изготавливаемого оборудования</t>
  </si>
  <si>
    <t>AISI 304</t>
  </si>
  <si>
    <t>AISI 304L</t>
  </si>
  <si>
    <t>AISI 316</t>
  </si>
  <si>
    <t>AISI 316L</t>
  </si>
  <si>
    <t>Подключение к вентиляции</t>
  </si>
  <si>
    <t>Диаметр, мм:</t>
  </si>
  <si>
    <t>Система управления</t>
  </si>
  <si>
    <t>Шкаф управления</t>
  </si>
  <si>
    <t>Да</t>
  </si>
  <si>
    <t>Нет</t>
  </si>
  <si>
    <t>Уровень автоматизации</t>
  </si>
  <si>
    <t>Мотор-редуктор</t>
  </si>
  <si>
    <t>IP55</t>
  </si>
  <si>
    <t>IP65</t>
  </si>
  <si>
    <t>IP66</t>
  </si>
  <si>
    <t>IP67</t>
  </si>
  <si>
    <t>Взрывобезопасность, EX</t>
  </si>
  <si>
    <t>Прочее</t>
  </si>
  <si>
    <t>Гидравлические расчеты</t>
  </si>
  <si>
    <t>Количество граблин:</t>
  </si>
  <si>
    <t>Высота выгрузки, мм:</t>
  </si>
  <si>
    <t>Высота выгрузки (от борта канала), мм</t>
  </si>
  <si>
    <t>Ответ</t>
  </si>
  <si>
    <t>Габариты решетки</t>
  </si>
  <si>
    <t>Длина (реальная), мм:</t>
  </si>
  <si>
    <t>Масса, кг:</t>
  </si>
  <si>
    <t>Габариты емкости</t>
  </si>
  <si>
    <t>Длина, мм:</t>
  </si>
  <si>
    <t>Высота, мм:</t>
  </si>
  <si>
    <t>Присоединительные фланцы</t>
  </si>
  <si>
    <t>DN</t>
  </si>
  <si>
    <t>Тип профиля:</t>
  </si>
  <si>
    <t>Размеры:</t>
  </si>
  <si>
    <t>Прозор, мм:</t>
  </si>
  <si>
    <t>Длина фильтрующего полотна, мм:</t>
  </si>
  <si>
    <t>Радиус поворота, мм:</t>
  </si>
  <si>
    <t>Подставка</t>
  </si>
  <si>
    <t>Стационарная поворотная</t>
  </si>
  <si>
    <t>Телескопическая поворотная</t>
  </si>
  <si>
    <t>Автоматизация</t>
  </si>
  <si>
    <t>Наименование шкафа управления:</t>
  </si>
  <si>
    <t>Производитель:</t>
  </si>
  <si>
    <t>Мощность, кВт:</t>
  </si>
  <si>
    <t>Параметры сети</t>
  </si>
  <si>
    <t>Напряжение, В:</t>
  </si>
  <si>
    <t>Частота, Гц:</t>
  </si>
  <si>
    <t>Обороты, об./мин:</t>
  </si>
  <si>
    <t>Степень защиты IP:</t>
  </si>
  <si>
    <t>Да - см. приложение</t>
  </si>
  <si>
    <t>Производитель</t>
  </si>
  <si>
    <t>Мощность, кВт</t>
  </si>
  <si>
    <t>Обороты, об./мин</t>
  </si>
  <si>
    <t>Конвеер винтовой</t>
  </si>
  <si>
    <t>Контейнер</t>
  </si>
  <si>
    <t>-</t>
  </si>
  <si>
    <t>К стенкам канала</t>
  </si>
  <si>
    <t>Степень защиты, IP</t>
  </si>
  <si>
    <t>Угол наклона, °:</t>
  </si>
  <si>
    <t>Требуемый угол установки (стандартное исполнение - 80 °):</t>
  </si>
  <si>
    <t>Тип фильтрующего полотна</t>
  </si>
  <si>
    <t>Щелевое сито</t>
  </si>
  <si>
    <t>Промывка, л/с</t>
  </si>
  <si>
    <t>Тип спирали</t>
  </si>
  <si>
    <t>Безосевая</t>
  </si>
  <si>
    <t>Осевая</t>
  </si>
  <si>
    <t>Решетка винтовая отжимная РВО</t>
  </si>
  <si>
    <t>Решетка винтовая отжимная барабанная РВОБ1</t>
  </si>
  <si>
    <t>Решетка винтовая отжимная барабанная РВОБ2</t>
  </si>
  <si>
    <t>Мотор-редуктор граблины</t>
  </si>
  <si>
    <t>Мотор-редуктор барабана</t>
  </si>
  <si>
    <t>Класс</t>
  </si>
  <si>
    <t>Группа</t>
  </si>
  <si>
    <r>
      <t xml:space="preserve">Q </t>
    </r>
    <r>
      <rPr>
        <vertAlign val="subscript"/>
        <sz val="11"/>
        <rFont val="Arial"/>
        <family val="2"/>
      </rPr>
      <t>макс</t>
    </r>
    <r>
      <rPr>
        <sz val="11"/>
        <rFont val="Arial"/>
        <family val="2"/>
      </rPr>
      <t>:</t>
    </r>
  </si>
  <si>
    <t>Наименование шкафа управления</t>
  </si>
  <si>
    <t>При подаче сточных вод</t>
  </si>
  <si>
    <t>Перфорированное сито</t>
  </si>
  <si>
    <t>Type of wastewater</t>
  </si>
  <si>
    <t>Location</t>
  </si>
  <si>
    <t>Ambient temperature, C</t>
  </si>
  <si>
    <t>Heating</t>
  </si>
  <si>
    <t>Max</t>
  </si>
  <si>
    <t>Average</t>
  </si>
  <si>
    <t>Min</t>
  </si>
  <si>
    <t>Wastewater feeding</t>
  </si>
  <si>
    <t>Control cabinet</t>
  </si>
  <si>
    <t>Municipal wastewater</t>
  </si>
  <si>
    <t>Industrial wastewater</t>
  </si>
  <si>
    <t>Outdoor</t>
  </si>
  <si>
    <t>Indoor</t>
  </si>
  <si>
    <t>By gravity</t>
  </si>
  <si>
    <t>By pressure</t>
  </si>
  <si>
    <t>Yes</t>
  </si>
  <si>
    <t>No</t>
  </si>
  <si>
    <t>Other relevant information</t>
  </si>
  <si>
    <t>Type of industry</t>
  </si>
  <si>
    <t>Wastewater characteristics</t>
  </si>
  <si>
    <t>Other (indicate)</t>
  </si>
  <si>
    <t>IP56</t>
  </si>
  <si>
    <t>Duty</t>
  </si>
  <si>
    <t>Stand-by</t>
  </si>
  <si>
    <t>Automation</t>
  </si>
  <si>
    <t>pH</t>
  </si>
  <si>
    <r>
      <t>Pressure, m H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O</t>
    </r>
  </si>
  <si>
    <t>Basic information</t>
  </si>
  <si>
    <t>Customer</t>
  </si>
  <si>
    <t>Country</t>
  </si>
  <si>
    <t>Deadline for the offer</t>
  </si>
  <si>
    <t>TSS, mg/l</t>
  </si>
  <si>
    <t>Screen openings*, mm</t>
  </si>
  <si>
    <t>Ingress protection rating (IP)</t>
  </si>
  <si>
    <t>Contact person</t>
  </si>
  <si>
    <t>Object name</t>
  </si>
  <si>
    <t>Phone</t>
  </si>
  <si>
    <t>Email</t>
  </si>
  <si>
    <t>Request date</t>
  </si>
  <si>
    <t>RUS</t>
  </si>
  <si>
    <t>Основная информация</t>
  </si>
  <si>
    <t>Заказчик</t>
  </si>
  <si>
    <t>Наименование объекта</t>
  </si>
  <si>
    <t>Страна</t>
  </si>
  <si>
    <t>Информация о заказчике</t>
  </si>
  <si>
    <t>Контактное лицо</t>
  </si>
  <si>
    <t>Телефон</t>
  </si>
  <si>
    <t>Дата заполнения</t>
  </si>
  <si>
    <t>Характеристики сточных вод</t>
  </si>
  <si>
    <t>Взвешенные вещества, мг/л</t>
  </si>
  <si>
    <t>Рабочих</t>
  </si>
  <si>
    <t>Резервных</t>
  </si>
  <si>
    <t>Максимальный</t>
  </si>
  <si>
    <t>Средний</t>
  </si>
  <si>
    <t>Минимальный</t>
  </si>
  <si>
    <t>Подача стоков</t>
  </si>
  <si>
    <t>Прозор*, мм</t>
  </si>
  <si>
    <t>Материал**</t>
  </si>
  <si>
    <t>Приводы</t>
  </si>
  <si>
    <t>Исполнение (IP)</t>
  </si>
  <si>
    <t>Другая важная информация</t>
  </si>
  <si>
    <t>Бытовые</t>
  </si>
  <si>
    <t>Промышленные</t>
  </si>
  <si>
    <t>Напорная</t>
  </si>
  <si>
    <t>Самотечная</t>
  </si>
  <si>
    <t>Другое</t>
  </si>
  <si>
    <t>Выберите</t>
  </si>
  <si>
    <t>Пожалуйста заполните</t>
  </si>
  <si>
    <t>Наружное</t>
  </si>
  <si>
    <t>В помещении</t>
  </si>
  <si>
    <t>Хлориды, мг/л</t>
  </si>
  <si>
    <t>Chloride, mg/l</t>
  </si>
  <si>
    <t>Дальнейшая обработка отбросов</t>
  </si>
  <si>
    <t xml:space="preserve">Установка </t>
  </si>
  <si>
    <t>В канале</t>
  </si>
  <si>
    <t>Накопление</t>
  </si>
  <si>
    <t>Уплотнение с отмывкой</t>
  </si>
  <si>
    <t>Уплотнение с интенсивной отмывкой</t>
  </si>
  <si>
    <t>Запрос на решетку</t>
  </si>
  <si>
    <t>Rake bar screen RKE</t>
  </si>
  <si>
    <t>Step screen RSK</t>
  </si>
  <si>
    <t>Hook type screen RKKT</t>
  </si>
  <si>
    <t>Screw screen RVO</t>
  </si>
  <si>
    <t>Screw drum screen with rotating rake RVO B1</t>
  </si>
  <si>
    <t>Screw drum screen with rotating drum RVO B2</t>
  </si>
  <si>
    <t>Drum screen with triangle profile RMB TP</t>
  </si>
  <si>
    <t>Brush drum screen RMB Sh</t>
  </si>
  <si>
    <t>Grinding screen RKD</t>
  </si>
  <si>
    <t>Грабельная решетка РКЭ</t>
  </si>
  <si>
    <t>Ступенчатая решетка РСК</t>
  </si>
  <si>
    <t>Крючковая решетка РККТ</t>
  </si>
  <si>
    <t>Винтовая решетка РВО</t>
  </si>
  <si>
    <t>Винтовая решетка с вращающейся граблиной РВОБ1</t>
  </si>
  <si>
    <t>Винтовая решетка с вращающейся корзиной РВОБ2</t>
  </si>
  <si>
    <t>Барабанная решетка РМБТП</t>
  </si>
  <si>
    <t>Щеточная решетка РМБЩ</t>
  </si>
  <si>
    <t>Решетка дробилка РКД</t>
  </si>
  <si>
    <t>Решетка ротационная РБР</t>
  </si>
  <si>
    <t>(По максимальной подаче насосов, а не по коэф из СНиП)</t>
  </si>
  <si>
    <t>Rotary drum screen RDS</t>
  </si>
  <si>
    <t>In channel</t>
  </si>
  <si>
    <t>Accumulation</t>
  </si>
  <si>
    <t>Press with washing</t>
  </si>
  <si>
    <t>Press with washing from organic substances</t>
  </si>
  <si>
    <t>Customer information</t>
  </si>
  <si>
    <t>Request for screen</t>
  </si>
  <si>
    <t>Municipal</t>
  </si>
  <si>
    <t>Industrial</t>
  </si>
  <si>
    <t>Installation</t>
  </si>
  <si>
    <t>Screenings handling</t>
  </si>
  <si>
    <t>Material**</t>
  </si>
  <si>
    <t>Chloride, ppm</t>
  </si>
  <si>
    <t>TSS, ppm</t>
  </si>
  <si>
    <t>Необходимое количество установок</t>
  </si>
  <si>
    <t>Длина прямого участка канала, мм</t>
  </si>
  <si>
    <t>Требования по взрывозащите (EX): класс/зона (указать ГОСТ, IEC или иное)</t>
  </si>
  <si>
    <t>Spare unit</t>
  </si>
  <si>
    <t>Quantity of screens</t>
  </si>
  <si>
    <t>Straight length of the channel, mm</t>
  </si>
  <si>
    <t>Gearmotors</t>
  </si>
  <si>
    <t>Hazardous area (EX): сlass/zone</t>
  </si>
  <si>
    <t>Screen openings*, in</t>
  </si>
  <si>
    <t>Straight length of the channel, ft</t>
  </si>
  <si>
    <t>Hazardous area (EX): class/zone</t>
  </si>
  <si>
    <t>Грабельная решетка РМКЭ</t>
  </si>
  <si>
    <t>Rake bar screen RMKE</t>
  </si>
  <si>
    <t>Zapytanie o kraty</t>
  </si>
  <si>
    <t>Rodzaj ścieków</t>
  </si>
  <si>
    <t>Krata zgrzebłowa RKE</t>
  </si>
  <si>
    <t>Komunalne</t>
  </si>
  <si>
    <t>Osoba kontaktowa</t>
  </si>
  <si>
    <t xml:space="preserve">Proszę wybrać </t>
  </si>
  <si>
    <t>Krata schodkowa RSK</t>
  </si>
  <si>
    <t>Przemysłowe</t>
  </si>
  <si>
    <t xml:space="preserve">Nazwa obiektu </t>
  </si>
  <si>
    <t xml:space="preserve">Telefon </t>
  </si>
  <si>
    <t xml:space="preserve">Proszę wypełnić </t>
  </si>
  <si>
    <t>Krata hakowa RKKT</t>
  </si>
  <si>
    <t>Kraj</t>
  </si>
  <si>
    <t xml:space="preserve">Adres mailowy </t>
  </si>
  <si>
    <t>Krata ślimakowa RVO</t>
  </si>
  <si>
    <t>Ciśnieniowo</t>
  </si>
  <si>
    <t>Termin złorzenia oferty</t>
  </si>
  <si>
    <t>Data wypełnienia</t>
  </si>
  <si>
    <t>Krata ślimakowa z grzeblem obrotowym RVO B1</t>
  </si>
  <si>
    <t>Krata ślimakowa z koszem obrotowym RVO B2</t>
  </si>
  <si>
    <t>Krata bębnowa z taśmą z trojściennego profilu RMB TP</t>
  </si>
  <si>
    <t>Tak</t>
  </si>
  <si>
    <t>Krata bębnowa szczotkowa RMB Sh</t>
  </si>
  <si>
    <t>Nie</t>
  </si>
  <si>
    <t>Charakterystyka ścieków</t>
  </si>
  <si>
    <t>Krata rozdrabniająca RKD</t>
  </si>
  <si>
    <t>Kanałem</t>
  </si>
  <si>
    <t>Akumulacja</t>
  </si>
  <si>
    <t>Chlorki mg/l</t>
  </si>
  <si>
    <t>Sito obrotowe RDS</t>
  </si>
  <si>
    <t>Na rurę</t>
  </si>
  <si>
    <t>Prasa z płukaniem</t>
  </si>
  <si>
    <t>Zawiesina ogólna, mg/l</t>
  </si>
  <si>
    <t>Prasa z płukaniem częśći organicznych</t>
  </si>
  <si>
    <t>Liczba urządzeń, szt.</t>
  </si>
  <si>
    <t>Pracujące</t>
  </si>
  <si>
    <t>Oczekujące</t>
  </si>
  <si>
    <t>Rezerwowe</t>
  </si>
  <si>
    <t>Maks.</t>
  </si>
  <si>
    <t>Średni</t>
  </si>
  <si>
    <t>Min.</t>
  </si>
  <si>
    <t>Dopływ ścieków</t>
  </si>
  <si>
    <t>Zamontowanie</t>
  </si>
  <si>
    <t>Długość kanału, mm</t>
  </si>
  <si>
    <t>Materiał**</t>
  </si>
  <si>
    <t>Szafa sterownicza</t>
  </si>
  <si>
    <t>Napędy</t>
  </si>
  <si>
    <r>
      <rPr>
        <sz val="11"/>
        <color theme="1"/>
        <rFont val="Arial"/>
        <family val="2"/>
        <charset val="238"/>
      </rPr>
      <t>Klasa bezpieczeństwa</t>
    </r>
    <r>
      <rPr>
        <sz val="11"/>
        <color theme="1"/>
        <rFont val="Arial"/>
        <family val="2"/>
      </rPr>
      <t xml:space="preserve"> (IP)</t>
    </r>
  </si>
  <si>
    <t>Lokalizacja</t>
  </si>
  <si>
    <t>Dodatkowe informacje</t>
  </si>
  <si>
    <t>In tank</t>
  </si>
  <si>
    <t>В емкости</t>
  </si>
  <si>
    <t>ЕСЛИ(И(D36="Наружное"; F36="Ошибка");"-";"Температура окружающей среды, ºC")</t>
  </si>
  <si>
    <t>Max.</t>
  </si>
  <si>
    <t>Choice available</t>
  </si>
  <si>
    <t>Please fill in</t>
  </si>
  <si>
    <t>Grawitacyjnie</t>
  </si>
  <si>
    <t>**** Пожалуйста приложите чертежи или другие исходные данные к опросному листу. Это ускорит наш ответ.</t>
  </si>
  <si>
    <t>Information about the installation place of equipment ****</t>
  </si>
  <si>
    <t>Информация о месте установки оборудования ****</t>
  </si>
  <si>
    <t>Informacja o miejscu instalacji urządzenia ****</t>
  </si>
  <si>
    <t>**** Please attach the drawings or any other initial information to the completed questionnaire.</t>
  </si>
  <si>
    <t xml:space="preserve">Informacja o kontrahencie </t>
  </si>
  <si>
    <t>Kontrahent</t>
  </si>
  <si>
    <t>Informacje podstawowe</t>
  </si>
  <si>
    <t>Prześwit kraty*, mm</t>
  </si>
  <si>
    <t>Sposób obróbki otrzymanych skratek</t>
  </si>
  <si>
    <t>Automatyka</t>
  </si>
  <si>
    <t>**** Proszę dołaczyć rysunki lub inne parametry wejściowe do ankiety. To przyspieszy naszą odpowiedź.</t>
  </si>
  <si>
    <t>Na zewnątrz budynku</t>
  </si>
  <si>
    <t>Wewnątrz budynku</t>
  </si>
  <si>
    <t>Mała krata zgrzebłowa RMKE</t>
  </si>
  <si>
    <t>Strefa wybuchowa (EX): klasa/strefa</t>
  </si>
  <si>
    <t>Inne (zaznacz)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</si>
</sst>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vertAlign val="subscript"/>
      <sz val="11"/>
      <name val="Arial"/>
      <family val="2"/>
    </font>
    <font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i/>
      <sz val="11"/>
      <name val="Arial"/>
      <family val="2"/>
      <charset val="204"/>
    </font>
    <font>
      <i/>
      <sz val="10"/>
      <name val="Arial"/>
      <family val="2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38"/>
    </font>
    <font>
      <b/>
      <sz val="12"/>
      <color rgb="FFFF0000"/>
      <name val="Arial"/>
      <family val="2"/>
      <charset val="204"/>
    </font>
    <font>
      <b/>
      <i/>
      <sz val="18"/>
      <color rgb="FFFF0000"/>
      <name val="Arial"/>
      <family val="2"/>
      <charset val="204"/>
    </font>
    <font>
      <b/>
      <i/>
      <sz val="11"/>
      <color rgb="FFFF0000"/>
      <name val="Arial"/>
      <family val="2"/>
      <charset val="204"/>
    </font>
    <font>
      <b/>
      <i/>
      <sz val="12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1"/>
      <color rgb="FFFF0000"/>
      <name val="Arial"/>
      <family val="2"/>
    </font>
    <font>
      <b/>
      <i/>
      <sz val="11"/>
      <color rgb="FFFF000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2"/>
      <color theme="2"/>
      <name val="Arial"/>
      <family val="2"/>
      <charset val="204"/>
    </font>
    <font>
      <b/>
      <sz val="12"/>
      <color theme="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749992370372631"/>
        <bgColor indexed="64"/>
      </patternFill>
    </fill>
  </fills>
  <borders count="5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312">
    <xf numFmtId="0" fontId="0" fillId="0" borderId="0" xfId="0"/>
    <xf numFmtId="0" fontId="3" fillId="2" borderId="22" xfId="0" applyFont="1" applyFill="1" applyBorder="1" applyAlignment="1" applyProtection="1">
      <alignment horizontal="left"/>
      <protection locked="0"/>
    </xf>
    <xf numFmtId="0" fontId="1" fillId="3" borderId="0" xfId="0" applyFont="1" applyFill="1" applyProtection="1">
      <protection hidden="1"/>
    </xf>
    <xf numFmtId="0" fontId="1" fillId="0" borderId="0" xfId="0" applyFont="1" applyProtection="1">
      <protection hidden="1"/>
    </xf>
    <xf numFmtId="0" fontId="2" fillId="3" borderId="0" xfId="0" applyFont="1" applyFill="1" applyProtection="1">
      <protection hidden="1"/>
    </xf>
    <xf numFmtId="0" fontId="1" fillId="5" borderId="25" xfId="0" applyFont="1" applyFill="1" applyBorder="1" applyProtection="1">
      <protection hidden="1"/>
    </xf>
    <xf numFmtId="0" fontId="1" fillId="2" borderId="25" xfId="0" applyFont="1" applyFill="1" applyBorder="1" applyProtection="1">
      <protection hidden="1"/>
    </xf>
    <xf numFmtId="0" fontId="5" fillId="0" borderId="22" xfId="0" applyFont="1" applyBorder="1" applyProtection="1">
      <protection hidden="1"/>
    </xf>
    <xf numFmtId="0" fontId="1" fillId="3" borderId="4" xfId="0" applyFont="1" applyFill="1" applyBorder="1" applyProtection="1">
      <protection hidden="1"/>
    </xf>
    <xf numFmtId="0" fontId="1" fillId="0" borderId="7" xfId="0" applyFont="1" applyBorder="1" applyAlignment="1" applyProtection="1">
      <alignment vertical="center"/>
      <protection hidden="1"/>
    </xf>
    <xf numFmtId="0" fontId="1" fillId="0" borderId="7" xfId="0" applyFont="1" applyBorder="1" applyProtection="1">
      <protection hidden="1"/>
    </xf>
    <xf numFmtId="0" fontId="1" fillId="3" borderId="4" xfId="0" applyFont="1" applyFill="1" applyBorder="1" applyAlignment="1" applyProtection="1">
      <alignment wrapText="1"/>
      <protection hidden="1"/>
    </xf>
    <xf numFmtId="0" fontId="1" fillId="0" borderId="9" xfId="0" applyFont="1" applyBorder="1" applyProtection="1">
      <protection hidden="1"/>
    </xf>
    <xf numFmtId="0" fontId="1" fillId="0" borderId="8" xfId="0" applyFont="1" applyBorder="1" applyProtection="1">
      <protection hidden="1"/>
    </xf>
    <xf numFmtId="0" fontId="1" fillId="0" borderId="26" xfId="0" applyFont="1" applyBorder="1" applyProtection="1">
      <protection hidden="1"/>
    </xf>
    <xf numFmtId="0" fontId="1" fillId="0" borderId="37" xfId="0" applyFont="1" applyBorder="1" applyProtection="1"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0" fillId="3" borderId="0" xfId="0" applyFill="1" applyProtection="1">
      <protection hidden="1"/>
    </xf>
    <xf numFmtId="0" fontId="1" fillId="3" borderId="8" xfId="0" applyFont="1" applyFill="1" applyBorder="1" applyProtection="1">
      <protection hidden="1"/>
    </xf>
    <xf numFmtId="0" fontId="1" fillId="3" borderId="9" xfId="0" applyFont="1" applyFill="1" applyBorder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vertical="center" wrapText="1"/>
      <protection hidden="1"/>
    </xf>
    <xf numFmtId="49" fontId="3" fillId="0" borderId="0" xfId="0" applyNumberFormat="1" applyFont="1" applyAlignment="1" applyProtection="1">
      <alignment vertical="center"/>
      <protection hidden="1"/>
    </xf>
    <xf numFmtId="0" fontId="3" fillId="0" borderId="0" xfId="0" applyFont="1" applyProtection="1">
      <protection hidden="1"/>
    </xf>
    <xf numFmtId="0" fontId="3" fillId="3" borderId="4" xfId="0" applyFont="1" applyFill="1" applyBorder="1" applyProtection="1">
      <protection hidden="1"/>
    </xf>
    <xf numFmtId="0" fontId="1" fillId="3" borderId="27" xfId="0" applyFont="1" applyFill="1" applyBorder="1" applyProtection="1">
      <protection hidden="1"/>
    </xf>
    <xf numFmtId="49" fontId="1" fillId="3" borderId="4" xfId="0" applyNumberFormat="1" applyFont="1" applyFill="1" applyBorder="1" applyProtection="1">
      <protection hidden="1"/>
    </xf>
    <xf numFmtId="0" fontId="8" fillId="0" borderId="12" xfId="0" applyFont="1" applyBorder="1" applyProtection="1">
      <protection hidden="1"/>
    </xf>
    <xf numFmtId="0" fontId="3" fillId="2" borderId="21" xfId="0" applyFont="1" applyFill="1" applyBorder="1" applyAlignment="1" applyProtection="1">
      <alignment horizontal="left"/>
      <protection locked="0"/>
    </xf>
    <xf numFmtId="0" fontId="1" fillId="0" borderId="42" xfId="0" applyFont="1" applyBorder="1" applyProtection="1">
      <protection hidden="1"/>
    </xf>
    <xf numFmtId="0" fontId="3" fillId="5" borderId="41" xfId="0" applyFont="1" applyFill="1" applyBorder="1" applyAlignment="1" applyProtection="1">
      <alignment horizontal="left" vertical="center"/>
      <protection locked="0"/>
    </xf>
    <xf numFmtId="0" fontId="5" fillId="3" borderId="24" xfId="0" applyFont="1" applyFill="1" applyBorder="1" applyAlignment="1" applyProtection="1">
      <alignment horizontal="left" vertical="center"/>
      <protection hidden="1"/>
    </xf>
    <xf numFmtId="0" fontId="1" fillId="0" borderId="34" xfId="0" applyFont="1" applyBorder="1" applyAlignment="1" applyProtection="1">
      <alignment vertical="center"/>
      <protection hidden="1"/>
    </xf>
    <xf numFmtId="0" fontId="3" fillId="2" borderId="31" xfId="0" applyFont="1" applyFill="1" applyBorder="1" applyAlignment="1" applyProtection="1">
      <alignment horizontal="left"/>
      <protection locked="0"/>
    </xf>
    <xf numFmtId="0" fontId="3" fillId="2" borderId="19" xfId="0" applyFont="1" applyFill="1" applyBorder="1" applyAlignment="1" applyProtection="1">
      <alignment horizontal="left"/>
      <protection locked="0"/>
    </xf>
    <xf numFmtId="0" fontId="8" fillId="0" borderId="16" xfId="0" applyFont="1" applyBorder="1" applyProtection="1">
      <protection hidden="1"/>
    </xf>
    <xf numFmtId="0" fontId="8" fillId="0" borderId="19" xfId="0" applyFont="1" applyBorder="1" applyProtection="1">
      <protection hidden="1"/>
    </xf>
    <xf numFmtId="0" fontId="1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43" xfId="0" applyFont="1" applyBorder="1" applyAlignment="1" applyProtection="1">
      <alignment horizontal="left" vertical="center" wrapText="1"/>
      <protection hidden="1"/>
    </xf>
    <xf numFmtId="0" fontId="11" fillId="2" borderId="44" xfId="0" applyFont="1" applyFill="1" applyBorder="1" applyAlignment="1" applyProtection="1">
      <alignment horizontal="left" vertical="top"/>
      <protection locked="0"/>
    </xf>
    <xf numFmtId="0" fontId="10" fillId="3" borderId="0" xfId="0" applyFont="1" applyFill="1" applyProtection="1">
      <protection hidden="1"/>
    </xf>
    <xf numFmtId="0" fontId="5" fillId="0" borderId="31" xfId="0" applyFont="1" applyBorder="1" applyProtection="1">
      <protection hidden="1"/>
    </xf>
    <xf numFmtId="0" fontId="5" fillId="0" borderId="34" xfId="0" applyFont="1" applyBorder="1" applyProtection="1">
      <protection hidden="1"/>
    </xf>
    <xf numFmtId="0" fontId="1" fillId="0" borderId="45" xfId="0" applyFont="1" applyBorder="1" applyProtection="1">
      <protection hidden="1"/>
    </xf>
    <xf numFmtId="0" fontId="1" fillId="0" borderId="34" xfId="0" applyFont="1" applyBorder="1" applyProtection="1">
      <protection hidden="1"/>
    </xf>
    <xf numFmtId="0" fontId="1" fillId="0" borderId="21" xfId="0" applyFont="1" applyBorder="1" applyProtection="1">
      <protection hidden="1"/>
    </xf>
    <xf numFmtId="0" fontId="3" fillId="2" borderId="34" xfId="0" applyFont="1" applyFill="1" applyBorder="1" applyAlignment="1" applyProtection="1">
      <alignment horizontal="left"/>
      <protection locked="0"/>
    </xf>
    <xf numFmtId="0" fontId="3" fillId="2" borderId="14" xfId="0" applyFont="1" applyFill="1" applyBorder="1" applyAlignment="1" applyProtection="1">
      <alignment horizontal="left"/>
      <protection locked="0"/>
    </xf>
    <xf numFmtId="0" fontId="3" fillId="4" borderId="20" xfId="0" applyFont="1" applyFill="1" applyBorder="1" applyAlignment="1" applyProtection="1">
      <alignment horizontal="left" vertical="center"/>
      <protection locked="0"/>
    </xf>
    <xf numFmtId="0" fontId="3" fillId="4" borderId="46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Protection="1">
      <protection locked="0"/>
    </xf>
    <xf numFmtId="0" fontId="6" fillId="2" borderId="22" xfId="0" applyFont="1" applyFill="1" applyBorder="1" applyProtection="1">
      <protection locked="0"/>
    </xf>
    <xf numFmtId="0" fontId="6" fillId="3" borderId="22" xfId="0" applyFont="1" applyFill="1" applyBorder="1" applyProtection="1">
      <protection locked="0"/>
    </xf>
    <xf numFmtId="0" fontId="13" fillId="3" borderId="40" xfId="0" applyFont="1" applyFill="1" applyBorder="1" applyAlignment="1" applyProtection="1">
      <alignment horizontal="left" vertical="center"/>
      <protection hidden="1"/>
    </xf>
    <xf numFmtId="49" fontId="10" fillId="2" borderId="49" xfId="0" applyNumberFormat="1" applyFont="1" applyFill="1" applyBorder="1" applyAlignment="1" applyProtection="1">
      <alignment horizontal="left" vertical="center" wrapText="1"/>
      <protection locked="0" hidden="1"/>
    </xf>
    <xf numFmtId="0" fontId="1" fillId="3" borderId="40" xfId="0" applyFont="1" applyFill="1" applyBorder="1" applyAlignment="1" applyProtection="1">
      <alignment horizontal="left" vertical="center"/>
      <protection hidden="1"/>
    </xf>
    <xf numFmtId="0" fontId="13" fillId="3" borderId="46" xfId="0" applyFont="1" applyFill="1" applyBorder="1" applyAlignment="1" applyProtection="1">
      <alignment horizontal="left" vertical="center"/>
      <protection hidden="1"/>
    </xf>
    <xf numFmtId="49" fontId="10" fillId="2" borderId="44" xfId="0" applyNumberFormat="1" applyFont="1" applyFill="1" applyBorder="1" applyAlignment="1" applyProtection="1">
      <alignment horizontal="left" vertical="center" wrapText="1"/>
      <protection locked="0" hidden="1"/>
    </xf>
    <xf numFmtId="0" fontId="1" fillId="3" borderId="46" xfId="0" applyFont="1" applyFill="1" applyBorder="1" applyAlignment="1" applyProtection="1">
      <alignment horizontal="left" vertical="center"/>
      <protection hidden="1"/>
    </xf>
    <xf numFmtId="0" fontId="1" fillId="0" borderId="50" xfId="0" applyFont="1" applyBorder="1" applyProtection="1">
      <protection hidden="1"/>
    </xf>
    <xf numFmtId="0" fontId="3" fillId="2" borderId="51" xfId="0" applyFont="1" applyFill="1" applyBorder="1" applyAlignment="1" applyProtection="1">
      <alignment horizontal="left"/>
      <protection locked="0"/>
    </xf>
    <xf numFmtId="0" fontId="12" fillId="2" borderId="36" xfId="0" applyFont="1" applyFill="1" applyBorder="1" applyAlignment="1" applyProtection="1">
      <alignment horizontal="left" vertical="center"/>
      <protection locked="0"/>
    </xf>
    <xf numFmtId="0" fontId="3" fillId="2" borderId="13" xfId="0" applyFont="1" applyFill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vertical="center"/>
      <protection hidden="1"/>
    </xf>
    <xf numFmtId="0" fontId="0" fillId="0" borderId="34" xfId="0" applyBorder="1" applyProtection="1">
      <protection hidden="1"/>
    </xf>
    <xf numFmtId="0" fontId="6" fillId="0" borderId="34" xfId="0" applyFont="1" applyBorder="1" applyAlignment="1" applyProtection="1">
      <alignment horizontal="left"/>
      <protection locked="0"/>
    </xf>
    <xf numFmtId="0" fontId="6" fillId="0" borderId="14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vertical="center" wrapText="1"/>
      <protection hidden="1"/>
    </xf>
    <xf numFmtId="0" fontId="1" fillId="0" borderId="35" xfId="0" applyFont="1" applyBorder="1" applyProtection="1">
      <protection hidden="1"/>
    </xf>
    <xf numFmtId="0" fontId="1" fillId="3" borderId="35" xfId="0" applyFont="1" applyFill="1" applyBorder="1" applyAlignment="1" applyProtection="1">
      <alignment horizontal="left"/>
      <protection locked="0"/>
    </xf>
    <xf numFmtId="0" fontId="0" fillId="3" borderId="12" xfId="0" applyFill="1" applyBorder="1" applyAlignment="1" applyProtection="1">
      <alignment horizontal="left"/>
      <protection locked="0"/>
    </xf>
    <xf numFmtId="0" fontId="3" fillId="0" borderId="14" xfId="0" applyFont="1" applyBorder="1" applyProtection="1">
      <protection locked="0"/>
    </xf>
    <xf numFmtId="0" fontId="3" fillId="2" borderId="13" xfId="0" applyFont="1" applyFill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horizontal="left"/>
      <protection locked="0"/>
    </xf>
    <xf numFmtId="0" fontId="3" fillId="0" borderId="22" xfId="0" applyFont="1" applyBorder="1" applyAlignment="1" applyProtection="1">
      <alignment horizontal="left"/>
      <protection locked="0"/>
    </xf>
    <xf numFmtId="0" fontId="3" fillId="2" borderId="20" xfId="0" applyFont="1" applyFill="1" applyBorder="1" applyAlignment="1" applyProtection="1">
      <alignment horizontal="left" vertical="center"/>
      <protection locked="0"/>
    </xf>
    <xf numFmtId="0" fontId="14" fillId="0" borderId="22" xfId="0" applyFont="1" applyBorder="1" applyProtection="1">
      <protection hidden="1"/>
    </xf>
    <xf numFmtId="0" fontId="2" fillId="6" borderId="0" xfId="0" applyFont="1" applyFill="1" applyProtection="1">
      <protection hidden="1"/>
    </xf>
    <xf numFmtId="0" fontId="15" fillId="3" borderId="0" xfId="0" applyFont="1" applyFill="1" applyProtection="1">
      <protection hidden="1"/>
    </xf>
    <xf numFmtId="0" fontId="3" fillId="4" borderId="23" xfId="0" applyFont="1" applyFill="1" applyBorder="1" applyAlignment="1" applyProtection="1">
      <alignment vertical="center"/>
      <protection locked="0"/>
    </xf>
    <xf numFmtId="0" fontId="3" fillId="4" borderId="39" xfId="0" applyFont="1" applyFill="1" applyBorder="1" applyAlignment="1" applyProtection="1">
      <alignment vertical="center"/>
      <protection locked="0"/>
    </xf>
    <xf numFmtId="0" fontId="3" fillId="4" borderId="29" xfId="0" applyFont="1" applyFill="1" applyBorder="1" applyAlignment="1" applyProtection="1">
      <alignment vertical="center"/>
      <protection locked="0"/>
    </xf>
    <xf numFmtId="0" fontId="16" fillId="3" borderId="0" xfId="0" applyFont="1" applyFill="1" applyProtection="1">
      <protection hidden="1"/>
    </xf>
    <xf numFmtId="0" fontId="1" fillId="3" borderId="0" xfId="0" applyFont="1" applyFill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0" fillId="3" borderId="0" xfId="0" applyFont="1" applyFill="1" applyAlignment="1" applyProtection="1">
      <alignment horizontal="left" vertical="center"/>
      <protection hidden="1"/>
    </xf>
    <xf numFmtId="0" fontId="8" fillId="3" borderId="0" xfId="0" applyFont="1" applyFill="1" applyAlignment="1" applyProtection="1">
      <alignment horizontal="left" vertical="center"/>
      <protection hidden="1"/>
    </xf>
    <xf numFmtId="0" fontId="13" fillId="0" borderId="25" xfId="0" applyFont="1" applyBorder="1" applyAlignment="1" applyProtection="1">
      <alignment horizontal="left" vertical="center"/>
      <protection hidden="1"/>
    </xf>
    <xf numFmtId="0" fontId="13" fillId="0" borderId="25" xfId="0" applyFont="1" applyBorder="1" applyAlignment="1" applyProtection="1">
      <alignment horizontal="left" vertical="center" wrapText="1"/>
      <protection hidden="1"/>
    </xf>
    <xf numFmtId="0" fontId="8" fillId="3" borderId="25" xfId="0" applyFont="1" applyFill="1" applyBorder="1" applyAlignment="1" applyProtection="1">
      <alignment horizontal="left" vertical="center" wrapText="1"/>
      <protection hidden="1"/>
    </xf>
    <xf numFmtId="0" fontId="1" fillId="5" borderId="25" xfId="0" applyFont="1" applyFill="1" applyBorder="1" applyProtection="1">
      <protection locked="0"/>
    </xf>
    <xf numFmtId="0" fontId="1" fillId="2" borderId="25" xfId="0" applyFont="1" applyFill="1" applyBorder="1" applyProtection="1">
      <protection locked="0"/>
    </xf>
    <xf numFmtId="0" fontId="1" fillId="3" borderId="0" xfId="0" applyFont="1" applyFill="1" applyAlignment="1" applyProtection="1">
      <alignment vertical="center"/>
      <protection hidden="1"/>
    </xf>
    <xf numFmtId="49" fontId="3" fillId="3" borderId="0" xfId="0" applyNumberFormat="1" applyFont="1" applyFill="1" applyAlignment="1" applyProtection="1">
      <alignment vertical="center"/>
      <protection hidden="1"/>
    </xf>
    <xf numFmtId="0" fontId="3" fillId="3" borderId="0" xfId="0" applyFont="1" applyFill="1" applyProtection="1">
      <protection hidden="1"/>
    </xf>
    <xf numFmtId="0" fontId="5" fillId="3" borderId="24" xfId="0" applyFont="1" applyFill="1" applyBorder="1" applyAlignment="1" applyProtection="1">
      <alignment horizontal="left" vertical="center" wrapText="1"/>
      <protection hidden="1"/>
    </xf>
    <xf numFmtId="0" fontId="8" fillId="2" borderId="36" xfId="0" applyFont="1" applyFill="1" applyBorder="1" applyAlignment="1" applyProtection="1">
      <alignment horizontal="left" vertical="center"/>
      <protection locked="0"/>
    </xf>
    <xf numFmtId="0" fontId="10" fillId="0" borderId="0" xfId="0" applyFont="1" applyProtection="1">
      <protection hidden="1"/>
    </xf>
    <xf numFmtId="0" fontId="17" fillId="3" borderId="0" xfId="0" applyFont="1" applyFill="1" applyAlignment="1" applyProtection="1">
      <alignment horizontal="left" vertical="center"/>
      <protection hidden="1"/>
    </xf>
    <xf numFmtId="0" fontId="19" fillId="0" borderId="0" xfId="0" applyFont="1" applyProtection="1">
      <protection hidden="1"/>
    </xf>
    <xf numFmtId="0" fontId="1" fillId="0" borderId="34" xfId="0" applyFont="1" applyBorder="1" applyAlignment="1" applyProtection="1">
      <alignment vertical="center" wrapText="1"/>
      <protection hidden="1"/>
    </xf>
    <xf numFmtId="0" fontId="6" fillId="0" borderId="22" xfId="0" applyFont="1" applyBorder="1" applyProtection="1">
      <protection locked="0"/>
    </xf>
    <xf numFmtId="0" fontId="1" fillId="3" borderId="36" xfId="0" applyFont="1" applyFill="1" applyBorder="1" applyProtection="1">
      <protection hidden="1"/>
    </xf>
    <xf numFmtId="0" fontId="15" fillId="3" borderId="0" xfId="0" applyFont="1" applyFill="1" applyAlignment="1" applyProtection="1">
      <alignment horizontal="left" vertical="center"/>
      <protection hidden="1"/>
    </xf>
    <xf numFmtId="0" fontId="10" fillId="3" borderId="0" xfId="0" applyFont="1" applyFill="1" applyAlignment="1" applyProtection="1">
      <alignment vertical="center"/>
      <protection hidden="1"/>
    </xf>
    <xf numFmtId="0" fontId="8" fillId="3" borderId="22" xfId="0" applyFont="1" applyFill="1" applyBorder="1" applyAlignment="1" applyProtection="1">
      <alignment horizontal="left" vertical="center"/>
      <protection locked="0" hidden="1"/>
    </xf>
    <xf numFmtId="0" fontId="22" fillId="3" borderId="0" xfId="0" applyFont="1" applyFill="1" applyAlignment="1" applyProtection="1">
      <alignment horizontal="left" vertical="center"/>
      <protection hidden="1"/>
    </xf>
    <xf numFmtId="0" fontId="1" fillId="7" borderId="50" xfId="0" applyFont="1" applyFill="1" applyBorder="1" applyProtection="1">
      <protection hidden="1"/>
    </xf>
    <xf numFmtId="49" fontId="10" fillId="8" borderId="49" xfId="0" applyNumberFormat="1" applyFont="1" applyFill="1" applyBorder="1" applyAlignment="1" applyProtection="1">
      <alignment horizontal="left" vertical="center" wrapText="1"/>
      <protection locked="0"/>
    </xf>
    <xf numFmtId="49" fontId="10" fillId="8" borderId="44" xfId="0" applyNumberFormat="1" applyFont="1" applyFill="1" applyBorder="1" applyAlignment="1" applyProtection="1">
      <alignment horizontal="left" vertical="center" wrapText="1"/>
      <protection locked="0"/>
    </xf>
    <xf numFmtId="0" fontId="10" fillId="8" borderId="49" xfId="0" applyFont="1" applyFill="1" applyBorder="1" applyAlignment="1" applyProtection="1">
      <alignment horizontal="left" vertical="center" wrapText="1"/>
      <protection locked="0"/>
    </xf>
    <xf numFmtId="0" fontId="10" fillId="8" borderId="21" xfId="0" applyFont="1" applyFill="1" applyBorder="1" applyAlignment="1" applyProtection="1">
      <alignment horizontal="left" vertical="center" wrapText="1"/>
      <protection locked="0"/>
    </xf>
    <xf numFmtId="0" fontId="10" fillId="8" borderId="34" xfId="0" applyFont="1" applyFill="1" applyBorder="1" applyAlignment="1" applyProtection="1">
      <alignment horizontal="left" vertical="center" wrapText="1"/>
      <protection locked="0"/>
    </xf>
    <xf numFmtId="0" fontId="9" fillId="8" borderId="22" xfId="0" applyFont="1" applyFill="1" applyBorder="1" applyAlignment="1" applyProtection="1">
      <alignment horizontal="left" vertical="center" wrapText="1"/>
      <protection locked="0"/>
    </xf>
    <xf numFmtId="0" fontId="25" fillId="0" borderId="51" xfId="0" applyFont="1" applyBorder="1" applyAlignment="1" applyProtection="1">
      <alignment horizontal="left" vertical="center"/>
      <protection hidden="1"/>
    </xf>
    <xf numFmtId="0" fontId="25" fillId="0" borderId="49" xfId="0" applyFont="1" applyBorder="1" applyAlignment="1" applyProtection="1">
      <alignment horizontal="left" vertical="center"/>
      <protection hidden="1"/>
    </xf>
    <xf numFmtId="0" fontId="25" fillId="0" borderId="54" xfId="0" applyFont="1" applyBorder="1" applyAlignment="1" applyProtection="1">
      <alignment horizontal="left" vertical="center"/>
      <protection hidden="1"/>
    </xf>
    <xf numFmtId="0" fontId="25" fillId="0" borderId="22" xfId="0" applyFont="1" applyBorder="1" applyAlignment="1" applyProtection="1">
      <alignment horizontal="left" vertical="center"/>
      <protection hidden="1"/>
    </xf>
    <xf numFmtId="0" fontId="26" fillId="0" borderId="29" xfId="0" applyFont="1" applyBorder="1" applyAlignment="1" applyProtection="1">
      <alignment horizontal="left" vertical="center" wrapText="1"/>
      <protection hidden="1"/>
    </xf>
    <xf numFmtId="0" fontId="1" fillId="8" borderId="25" xfId="0" applyFont="1" applyFill="1" applyBorder="1" applyProtection="1">
      <protection hidden="1"/>
    </xf>
    <xf numFmtId="0" fontId="27" fillId="9" borderId="25" xfId="0" applyFont="1" applyFill="1" applyBorder="1" applyAlignment="1" applyProtection="1">
      <alignment horizontal="center" vertical="center"/>
      <protection locked="0" hidden="1"/>
    </xf>
    <xf numFmtId="0" fontId="10" fillId="7" borderId="40" xfId="0" applyFont="1" applyFill="1" applyBorder="1" applyAlignment="1" applyProtection="1">
      <alignment horizontal="left" vertical="center"/>
      <protection locked="0" hidden="1"/>
    </xf>
    <xf numFmtId="0" fontId="23" fillId="7" borderId="33" xfId="0" applyFont="1" applyFill="1" applyBorder="1" applyAlignment="1" applyProtection="1">
      <alignment horizontal="left" vertical="center" indent="3"/>
      <protection locked="0" hidden="1"/>
    </xf>
    <xf numFmtId="0" fontId="23" fillId="7" borderId="57" xfId="0" applyFont="1" applyFill="1" applyBorder="1" applyAlignment="1" applyProtection="1">
      <alignment horizontal="left" vertical="center" indent="3"/>
      <protection locked="0" hidden="1"/>
    </xf>
    <xf numFmtId="0" fontId="13" fillId="0" borderId="11" xfId="0" applyFont="1" applyBorder="1" applyAlignment="1" applyProtection="1">
      <alignment horizontal="left" vertical="center"/>
      <protection hidden="1"/>
    </xf>
    <xf numFmtId="0" fontId="13" fillId="0" borderId="12" xfId="0" applyFont="1" applyBorder="1" applyAlignment="1" applyProtection="1">
      <alignment horizontal="left" vertical="center"/>
      <protection hidden="1"/>
    </xf>
    <xf numFmtId="0" fontId="10" fillId="8" borderId="21" xfId="0" applyFont="1" applyFill="1" applyBorder="1" applyAlignment="1" applyProtection="1">
      <alignment horizontal="left" vertical="center" wrapText="1"/>
      <protection locked="0"/>
    </xf>
    <xf numFmtId="0" fontId="10" fillId="8" borderId="22" xfId="0" applyFont="1" applyFill="1" applyBorder="1" applyAlignment="1" applyProtection="1">
      <alignment horizontal="left" vertical="center" wrapText="1"/>
      <protection locked="0"/>
    </xf>
    <xf numFmtId="0" fontId="13" fillId="0" borderId="13" xfId="0" applyFont="1" applyBorder="1" applyAlignment="1" applyProtection="1">
      <alignment horizontal="left" vertical="center" wrapText="1"/>
      <protection hidden="1"/>
    </xf>
    <xf numFmtId="0" fontId="8" fillId="0" borderId="48" xfId="0" applyFont="1" applyBorder="1" applyAlignment="1" applyProtection="1">
      <alignment horizontal="left" vertical="center"/>
      <protection hidden="1"/>
    </xf>
    <xf numFmtId="0" fontId="8" fillId="0" borderId="11" xfId="0" applyFont="1" applyBorder="1" applyAlignment="1" applyProtection="1">
      <alignment horizontal="left" vertical="center"/>
      <protection hidden="1"/>
    </xf>
    <xf numFmtId="0" fontId="13" fillId="0" borderId="20" xfId="0" applyFont="1" applyBorder="1" applyAlignment="1" applyProtection="1">
      <alignment horizontal="left" vertical="center" wrapText="1"/>
      <protection hidden="1"/>
    </xf>
    <xf numFmtId="0" fontId="13" fillId="3" borderId="21" xfId="0" applyFont="1" applyFill="1" applyBorder="1" applyAlignment="1" applyProtection="1">
      <alignment horizontal="left" vertical="center"/>
      <protection hidden="1"/>
    </xf>
    <xf numFmtId="0" fontId="13" fillId="3" borderId="22" xfId="0" applyFont="1" applyFill="1" applyBorder="1" applyAlignment="1" applyProtection="1">
      <alignment horizontal="left" vertical="center"/>
      <protection hidden="1"/>
    </xf>
    <xf numFmtId="0" fontId="8" fillId="0" borderId="52" xfId="0" applyFont="1" applyBorder="1" applyAlignment="1" applyProtection="1">
      <alignment horizontal="left" vertical="center" wrapText="1"/>
      <protection hidden="1"/>
    </xf>
    <xf numFmtId="0" fontId="8" fillId="0" borderId="53" xfId="0" applyFont="1" applyBorder="1" applyAlignment="1" applyProtection="1">
      <alignment horizontal="left" vertical="center" wrapText="1"/>
      <protection hidden="1"/>
    </xf>
    <xf numFmtId="0" fontId="8" fillId="0" borderId="50" xfId="0" applyFont="1" applyBorder="1" applyAlignment="1" applyProtection="1">
      <alignment horizontal="left" vertical="center" wrapText="1"/>
      <protection hidden="1"/>
    </xf>
    <xf numFmtId="0" fontId="13" fillId="0" borderId="13" xfId="0" applyFont="1" applyBorder="1" applyAlignment="1" applyProtection="1">
      <alignment horizontal="left" vertical="center"/>
      <protection hidden="1"/>
    </xf>
    <xf numFmtId="0" fontId="8" fillId="0" borderId="14" xfId="0" applyFont="1" applyBorder="1" applyAlignment="1" applyProtection="1">
      <alignment horizontal="left" vertical="center"/>
      <protection hidden="1"/>
    </xf>
    <xf numFmtId="0" fontId="8" fillId="0" borderId="12" xfId="0" applyFont="1" applyBorder="1" applyAlignment="1" applyProtection="1">
      <alignment horizontal="left" vertical="center"/>
      <protection hidden="1"/>
    </xf>
    <xf numFmtId="0" fontId="10" fillId="7" borderId="17" xfId="0" applyFont="1" applyFill="1" applyBorder="1" applyAlignment="1" applyProtection="1">
      <alignment horizontal="left" vertical="center" wrapText="1"/>
      <protection locked="0" hidden="1"/>
    </xf>
    <xf numFmtId="0" fontId="9" fillId="7" borderId="28" xfId="0" applyFont="1" applyFill="1" applyBorder="1" applyAlignment="1" applyProtection="1">
      <alignment horizontal="left" vertical="center"/>
      <protection locked="0" hidden="1"/>
    </xf>
    <xf numFmtId="0" fontId="18" fillId="3" borderId="45" xfId="0" applyFont="1" applyFill="1" applyBorder="1" applyAlignment="1" applyProtection="1">
      <alignment horizontal="left" vertical="center"/>
      <protection hidden="1"/>
    </xf>
    <xf numFmtId="0" fontId="18" fillId="3" borderId="22" xfId="0" applyFont="1" applyFill="1" applyBorder="1" applyAlignment="1" applyProtection="1">
      <alignment horizontal="left" vertical="center"/>
      <protection hidden="1"/>
    </xf>
    <xf numFmtId="0" fontId="1" fillId="0" borderId="0" xfId="0" applyFont="1" applyProtection="1"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28" fillId="0" borderId="5" xfId="0" applyFont="1" applyBorder="1" applyAlignment="1" applyProtection="1">
      <alignment horizontal="left" vertical="center" indent="2"/>
      <protection hidden="1"/>
    </xf>
    <xf numFmtId="0" fontId="28" fillId="0" borderId="27" xfId="0" applyFont="1" applyBorder="1" applyAlignment="1" applyProtection="1">
      <alignment horizontal="left" vertical="center" indent="2"/>
      <protection hidden="1"/>
    </xf>
    <xf numFmtId="0" fontId="28" fillId="0" borderId="10" xfId="0" applyFont="1" applyBorder="1" applyAlignment="1" applyProtection="1">
      <alignment horizontal="left" vertical="center" indent="2"/>
      <protection hidden="1"/>
    </xf>
    <xf numFmtId="0" fontId="13" fillId="0" borderId="20" xfId="0" applyFont="1" applyBorder="1" applyAlignment="1" applyProtection="1">
      <alignment horizontal="left" vertical="center"/>
      <protection hidden="1"/>
    </xf>
    <xf numFmtId="0" fontId="8" fillId="0" borderId="22" xfId="0" applyFont="1" applyBorder="1" applyAlignment="1" applyProtection="1">
      <alignment horizontal="left" vertical="center"/>
      <protection hidden="1"/>
    </xf>
    <xf numFmtId="0" fontId="8" fillId="0" borderId="23" xfId="0" applyFont="1" applyBorder="1" applyAlignment="1" applyProtection="1">
      <alignment horizontal="left" vertical="center"/>
      <protection hidden="1"/>
    </xf>
    <xf numFmtId="0" fontId="8" fillId="0" borderId="29" xfId="0" applyFont="1" applyBorder="1" applyAlignment="1" applyProtection="1">
      <alignment horizontal="left" vertical="center"/>
      <protection hidden="1"/>
    </xf>
    <xf numFmtId="0" fontId="9" fillId="8" borderId="23" xfId="0" applyFont="1" applyFill="1" applyBorder="1" applyAlignment="1" applyProtection="1">
      <alignment horizontal="left" vertical="center" wrapText="1"/>
      <protection locked="0"/>
    </xf>
    <xf numFmtId="0" fontId="9" fillId="8" borderId="39" xfId="0" applyFont="1" applyFill="1" applyBorder="1" applyAlignment="1" applyProtection="1">
      <alignment horizontal="left" vertical="center" wrapText="1"/>
      <protection locked="0"/>
    </xf>
    <xf numFmtId="0" fontId="9" fillId="8" borderId="29" xfId="0" applyFont="1" applyFill="1" applyBorder="1" applyAlignment="1" applyProtection="1">
      <alignment horizontal="left" vertical="center" wrapText="1"/>
      <protection locked="0"/>
    </xf>
    <xf numFmtId="0" fontId="13" fillId="0" borderId="55" xfId="0" applyFont="1" applyBorder="1" applyAlignment="1" applyProtection="1">
      <alignment horizontal="left" vertical="center" wrapText="1"/>
      <protection hidden="1"/>
    </xf>
    <xf numFmtId="0" fontId="0" fillId="0" borderId="55" xfId="0" applyBorder="1" applyAlignment="1" applyProtection="1">
      <alignment horizontal="left" vertical="center"/>
      <protection hidden="1"/>
    </xf>
    <xf numFmtId="0" fontId="0" fillId="0" borderId="56" xfId="0" applyBorder="1" applyProtection="1">
      <protection hidden="1"/>
    </xf>
    <xf numFmtId="0" fontId="9" fillId="8" borderId="55" xfId="0" applyFont="1" applyFill="1" applyBorder="1" applyAlignment="1" applyProtection="1">
      <alignment horizontal="left" vertical="center" wrapText="1"/>
      <protection locked="0"/>
    </xf>
    <xf numFmtId="0" fontId="9" fillId="8" borderId="56" xfId="0" applyFont="1" applyFill="1" applyBorder="1" applyAlignment="1" applyProtection="1">
      <alignment horizontal="left" vertical="center" wrapText="1"/>
      <protection locked="0"/>
    </xf>
    <xf numFmtId="0" fontId="13" fillId="0" borderId="17" xfId="0" applyFont="1" applyBorder="1" applyAlignment="1" applyProtection="1">
      <alignment horizontal="left" vertical="center" wrapText="1"/>
      <protection hidden="1"/>
    </xf>
    <xf numFmtId="0" fontId="8" fillId="0" borderId="38" xfId="0" applyFont="1" applyBorder="1" applyAlignment="1" applyProtection="1">
      <alignment horizontal="left" vertical="center"/>
      <protection hidden="1"/>
    </xf>
    <xf numFmtId="0" fontId="8" fillId="8" borderId="21" xfId="0" applyFont="1" applyFill="1" applyBorder="1" applyAlignment="1" applyProtection="1">
      <alignment horizontal="left" vertical="center"/>
      <protection locked="0"/>
    </xf>
    <xf numFmtId="0" fontId="8" fillId="8" borderId="22" xfId="0" applyFont="1" applyFill="1" applyBorder="1" applyAlignment="1" applyProtection="1">
      <alignment horizontal="left" vertical="center"/>
      <protection locked="0"/>
    </xf>
    <xf numFmtId="0" fontId="10" fillId="8" borderId="39" xfId="0" applyFont="1" applyFill="1" applyBorder="1" applyAlignment="1" applyProtection="1">
      <alignment horizontal="left" vertical="center" wrapText="1"/>
      <protection locked="0"/>
    </xf>
    <xf numFmtId="0" fontId="8" fillId="8" borderId="39" xfId="0" applyFont="1" applyFill="1" applyBorder="1" applyAlignment="1" applyProtection="1">
      <alignment horizontal="left" vertical="center"/>
      <protection locked="0"/>
    </xf>
    <xf numFmtId="0" fontId="8" fillId="8" borderId="29" xfId="0" applyFont="1" applyFill="1" applyBorder="1" applyAlignment="1" applyProtection="1">
      <alignment horizontal="left" vertical="center"/>
      <protection locked="0"/>
    </xf>
    <xf numFmtId="0" fontId="13" fillId="0" borderId="22" xfId="0" applyFont="1" applyBorder="1" applyAlignment="1" applyProtection="1">
      <alignment horizontal="left" vertical="center"/>
      <protection hidden="1"/>
    </xf>
    <xf numFmtId="0" fontId="13" fillId="0" borderId="46" xfId="0" applyFont="1" applyBorder="1" applyAlignment="1" applyProtection="1">
      <alignment horizontal="left" vertical="center"/>
      <protection hidden="1"/>
    </xf>
    <xf numFmtId="0" fontId="13" fillId="0" borderId="44" xfId="0" applyFont="1" applyBorder="1" applyAlignment="1" applyProtection="1">
      <alignment horizontal="left" vertical="center"/>
      <protection hidden="1"/>
    </xf>
    <xf numFmtId="0" fontId="24" fillId="0" borderId="5" xfId="0" applyFont="1" applyBorder="1" applyAlignment="1" applyProtection="1">
      <alignment horizontal="left" vertical="center" wrapText="1" indent="2"/>
      <protection hidden="1"/>
    </xf>
    <xf numFmtId="0" fontId="24" fillId="0" borderId="27" xfId="0" applyFont="1" applyBorder="1" applyAlignment="1" applyProtection="1">
      <alignment horizontal="left" vertical="center" wrapText="1" indent="2"/>
      <protection hidden="1"/>
    </xf>
    <xf numFmtId="0" fontId="24" fillId="0" borderId="31" xfId="0" applyFont="1" applyBorder="1" applyAlignment="1" applyProtection="1">
      <alignment horizontal="left" vertical="center" wrapText="1" indent="2"/>
      <protection hidden="1"/>
    </xf>
    <xf numFmtId="0" fontId="24" fillId="0" borderId="19" xfId="0" applyFont="1" applyBorder="1" applyAlignment="1" applyProtection="1">
      <alignment horizontal="left" vertical="center" wrapText="1" indent="2"/>
      <protection hidden="1"/>
    </xf>
    <xf numFmtId="0" fontId="13" fillId="0" borderId="22" xfId="0" applyFont="1" applyBorder="1" applyAlignment="1" applyProtection="1">
      <alignment horizontal="left" vertical="center" wrapText="1"/>
      <protection hidden="1"/>
    </xf>
    <xf numFmtId="0" fontId="10" fillId="7" borderId="21" xfId="0" applyFont="1" applyFill="1" applyBorder="1" applyAlignment="1" applyProtection="1">
      <alignment horizontal="left" vertical="center" wrapText="1"/>
      <protection locked="0" hidden="1"/>
    </xf>
    <xf numFmtId="0" fontId="10" fillId="7" borderId="22" xfId="0" applyFont="1" applyFill="1" applyBorder="1" applyAlignment="1" applyProtection="1">
      <alignment horizontal="left" vertical="center" wrapText="1"/>
      <protection locked="0" hidden="1"/>
    </xf>
    <xf numFmtId="0" fontId="10" fillId="8" borderId="20" xfId="0" applyFont="1" applyFill="1" applyBorder="1" applyAlignment="1" applyProtection="1">
      <alignment horizontal="left" vertical="center" wrapText="1"/>
      <protection locked="0"/>
    </xf>
    <xf numFmtId="0" fontId="24" fillId="3" borderId="5" xfId="0" applyFont="1" applyFill="1" applyBorder="1" applyAlignment="1" applyProtection="1">
      <alignment horizontal="left" vertical="center" indent="2"/>
      <protection hidden="1"/>
    </xf>
    <xf numFmtId="0" fontId="24" fillId="3" borderId="27" xfId="0" applyFont="1" applyFill="1" applyBorder="1" applyAlignment="1" applyProtection="1">
      <alignment horizontal="left" vertical="center" indent="2"/>
      <protection hidden="1"/>
    </xf>
    <xf numFmtId="0" fontId="24" fillId="3" borderId="10" xfId="0" applyFont="1" applyFill="1" applyBorder="1" applyAlignment="1" applyProtection="1">
      <alignment horizontal="left" vertical="center" indent="2"/>
      <protection hidden="1"/>
    </xf>
    <xf numFmtId="0" fontId="24" fillId="3" borderId="18" xfId="0" applyFont="1" applyFill="1" applyBorder="1" applyAlignment="1" applyProtection="1">
      <alignment horizontal="left" vertical="center" indent="2"/>
      <protection hidden="1"/>
    </xf>
    <xf numFmtId="0" fontId="24" fillId="3" borderId="35" xfId="0" applyFont="1" applyFill="1" applyBorder="1" applyAlignment="1" applyProtection="1">
      <alignment horizontal="left" vertical="center" indent="2"/>
      <protection hidden="1"/>
    </xf>
    <xf numFmtId="0" fontId="24" fillId="3" borderId="31" xfId="0" applyFont="1" applyFill="1" applyBorder="1" applyAlignment="1" applyProtection="1">
      <alignment horizontal="left" vertical="center" indent="2"/>
      <protection hidden="1"/>
    </xf>
    <xf numFmtId="0" fontId="24" fillId="3" borderId="19" xfId="0" applyFont="1" applyFill="1" applyBorder="1" applyAlignment="1" applyProtection="1">
      <alignment horizontal="left" vertical="center" indent="2"/>
      <protection hidden="1"/>
    </xf>
    <xf numFmtId="49" fontId="9" fillId="8" borderId="25" xfId="0" applyNumberFormat="1" applyFont="1" applyFill="1" applyBorder="1" applyAlignment="1" applyProtection="1">
      <alignment horizontal="left" vertical="center" wrapText="1"/>
      <protection locked="0"/>
    </xf>
    <xf numFmtId="49" fontId="9" fillId="8" borderId="49" xfId="0" applyNumberFormat="1" applyFont="1" applyFill="1" applyBorder="1" applyAlignment="1" applyProtection="1">
      <alignment horizontal="left" vertical="center" wrapText="1"/>
      <protection locked="0"/>
    </xf>
    <xf numFmtId="49" fontId="9" fillId="8" borderId="43" xfId="0" applyNumberFormat="1" applyFont="1" applyFill="1" applyBorder="1" applyAlignment="1" applyProtection="1">
      <alignment horizontal="left" vertical="center" wrapText="1"/>
      <protection locked="0"/>
    </xf>
    <xf numFmtId="49" fontId="9" fillId="8" borderId="44" xfId="0" applyNumberFormat="1" applyFont="1" applyFill="1" applyBorder="1" applyAlignment="1" applyProtection="1">
      <alignment horizontal="left" vertical="center" wrapText="1"/>
      <protection locked="0"/>
    </xf>
    <xf numFmtId="0" fontId="10" fillId="7" borderId="20" xfId="0" applyFont="1" applyFill="1" applyBorder="1" applyAlignment="1" applyProtection="1">
      <alignment horizontal="left" vertical="center"/>
      <protection locked="0" hidden="1"/>
    </xf>
    <xf numFmtId="0" fontId="10" fillId="7" borderId="21" xfId="0" applyFont="1" applyFill="1" applyBorder="1" applyAlignment="1" applyProtection="1">
      <alignment horizontal="left" vertical="center"/>
      <protection locked="0" hidden="1"/>
    </xf>
    <xf numFmtId="0" fontId="10" fillId="7" borderId="22" xfId="0" applyFont="1" applyFill="1" applyBorder="1" applyAlignment="1" applyProtection="1">
      <alignment horizontal="left" vertical="center"/>
      <protection locked="0" hidden="1"/>
    </xf>
    <xf numFmtId="0" fontId="9" fillId="7" borderId="23" xfId="0" applyFont="1" applyFill="1" applyBorder="1" applyAlignment="1" applyProtection="1">
      <alignment horizontal="left" vertical="center"/>
      <protection locked="0" hidden="1"/>
    </xf>
    <xf numFmtId="0" fontId="9" fillId="7" borderId="39" xfId="0" applyFont="1" applyFill="1" applyBorder="1" applyAlignment="1" applyProtection="1">
      <alignment horizontal="left" vertical="center"/>
      <protection locked="0" hidden="1"/>
    </xf>
    <xf numFmtId="0" fontId="9" fillId="7" borderId="29" xfId="0" applyFont="1" applyFill="1" applyBorder="1" applyAlignment="1" applyProtection="1">
      <alignment horizontal="left" vertical="center"/>
      <protection locked="0" hidden="1"/>
    </xf>
    <xf numFmtId="0" fontId="13" fillId="0" borderId="48" xfId="0" applyFont="1" applyBorder="1" applyAlignment="1" applyProtection="1">
      <alignment horizontal="left" vertical="center" wrapText="1"/>
      <protection hidden="1"/>
    </xf>
    <xf numFmtId="0" fontId="13" fillId="0" borderId="11" xfId="0" applyFont="1" applyBorder="1" applyAlignment="1" applyProtection="1">
      <alignment horizontal="left" vertical="center" wrapText="1"/>
      <protection hidden="1"/>
    </xf>
    <xf numFmtId="0" fontId="9" fillId="8" borderId="21" xfId="0" applyFont="1" applyFill="1" applyBorder="1" applyAlignment="1" applyProtection="1">
      <alignment horizontal="left" vertical="center" wrapText="1"/>
      <protection locked="0"/>
    </xf>
    <xf numFmtId="0" fontId="9" fillId="8" borderId="22" xfId="0" applyFont="1" applyFill="1" applyBorder="1" applyAlignment="1" applyProtection="1">
      <alignment horizontal="left" vertical="center" wrapText="1"/>
      <protection locked="0"/>
    </xf>
    <xf numFmtId="0" fontId="10" fillId="8" borderId="11" xfId="0" applyFont="1" applyFill="1" applyBorder="1" applyAlignment="1" applyProtection="1">
      <alignment horizontal="left" vertical="center" wrapText="1"/>
      <protection locked="0"/>
    </xf>
    <xf numFmtId="0" fontId="10" fillId="8" borderId="35" xfId="0" applyFont="1" applyFill="1" applyBorder="1" applyAlignment="1" applyProtection="1">
      <alignment horizontal="left" vertical="center" wrapText="1"/>
      <protection locked="0"/>
    </xf>
    <xf numFmtId="0" fontId="10" fillId="8" borderId="12" xfId="0" applyFont="1" applyFill="1" applyBorder="1" applyAlignment="1" applyProtection="1">
      <alignment horizontal="left" vertical="center" wrapText="1"/>
      <protection locked="0"/>
    </xf>
    <xf numFmtId="0" fontId="10" fillId="8" borderId="13" xfId="0" applyFont="1" applyFill="1" applyBorder="1" applyAlignment="1" applyProtection="1">
      <alignment horizontal="left" vertical="center" wrapText="1"/>
      <protection locked="0"/>
    </xf>
    <xf numFmtId="0" fontId="10" fillId="8" borderId="34" xfId="0" applyFont="1" applyFill="1" applyBorder="1" applyAlignment="1" applyProtection="1">
      <alignment horizontal="left" vertical="center" wrapText="1"/>
      <protection locked="0"/>
    </xf>
    <xf numFmtId="0" fontId="10" fillId="8" borderId="14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10" fillId="3" borderId="18" xfId="0" applyFont="1" applyFill="1" applyBorder="1" applyAlignment="1" applyProtection="1">
      <alignment horizontal="left" vertical="center"/>
      <protection hidden="1"/>
    </xf>
    <xf numFmtId="0" fontId="10" fillId="3" borderId="31" xfId="0" applyFont="1" applyFill="1" applyBorder="1" applyAlignment="1" applyProtection="1">
      <alignment horizontal="left" vertical="center"/>
      <protection hidden="1"/>
    </xf>
    <xf numFmtId="0" fontId="10" fillId="3" borderId="19" xfId="0" applyFont="1" applyFill="1" applyBorder="1" applyAlignment="1" applyProtection="1">
      <alignment horizontal="left" vertical="center"/>
      <protection hidden="1"/>
    </xf>
    <xf numFmtId="49" fontId="9" fillId="2" borderId="25" xfId="0" applyNumberFormat="1" applyFont="1" applyFill="1" applyBorder="1" applyAlignment="1" applyProtection="1">
      <alignment horizontal="left" vertical="center" wrapText="1"/>
      <protection locked="0" hidden="1"/>
    </xf>
    <xf numFmtId="49" fontId="9" fillId="0" borderId="49" xfId="0" applyNumberFormat="1" applyFont="1" applyBorder="1" applyAlignment="1" applyProtection="1">
      <alignment horizontal="left" vertical="center" wrapText="1"/>
      <protection locked="0" hidden="1"/>
    </xf>
    <xf numFmtId="49" fontId="9" fillId="2" borderId="43" xfId="0" applyNumberFormat="1" applyFont="1" applyFill="1" applyBorder="1" applyAlignment="1" applyProtection="1">
      <alignment horizontal="left" vertical="center" wrapText="1"/>
      <protection locked="0" hidden="1"/>
    </xf>
    <xf numFmtId="49" fontId="9" fillId="0" borderId="44" xfId="0" applyNumberFormat="1" applyFont="1" applyBorder="1" applyAlignment="1" applyProtection="1">
      <alignment horizontal="left" vertical="center" wrapText="1"/>
      <protection locked="0" hidden="1"/>
    </xf>
    <xf numFmtId="0" fontId="1" fillId="0" borderId="48" xfId="0" applyFont="1" applyBorder="1" applyAlignment="1" applyProtection="1">
      <alignment vertical="center"/>
      <protection hidden="1"/>
    </xf>
    <xf numFmtId="0" fontId="0" fillId="0" borderId="47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16" xfId="0" applyBorder="1" applyProtection="1">
      <protection hidden="1"/>
    </xf>
    <xf numFmtId="0" fontId="3" fillId="4" borderId="30" xfId="0" applyFont="1" applyFill="1" applyBorder="1" applyAlignment="1" applyProtection="1">
      <alignment horizontal="left" vertical="center" wrapText="1"/>
      <protection locked="0"/>
    </xf>
    <xf numFmtId="0" fontId="6" fillId="0" borderId="38" xfId="0" applyFont="1" applyBorder="1" applyAlignment="1" applyProtection="1">
      <alignment horizontal="left"/>
      <protection locked="0"/>
    </xf>
    <xf numFmtId="0" fontId="1" fillId="0" borderId="32" xfId="0" applyFont="1" applyBorder="1" applyAlignment="1" applyProtection="1">
      <alignment horizontal="center" vertical="center" wrapText="1"/>
      <protection hidden="1"/>
    </xf>
    <xf numFmtId="0" fontId="1" fillId="0" borderId="30" xfId="0" applyFont="1" applyBorder="1" applyAlignment="1" applyProtection="1">
      <alignment horizontal="center" vertical="center" wrapText="1"/>
      <protection hidden="1"/>
    </xf>
    <xf numFmtId="0" fontId="1" fillId="0" borderId="38" xfId="0" applyFont="1" applyBorder="1" applyAlignment="1" applyProtection="1">
      <alignment horizontal="center" vertical="center" wrapText="1"/>
      <protection hidden="1"/>
    </xf>
    <xf numFmtId="0" fontId="1" fillId="0" borderId="28" xfId="0" applyFont="1" applyBorder="1" applyAlignment="1" applyProtection="1">
      <alignment horizontal="center" vertical="center" wrapText="1"/>
      <protection hidden="1"/>
    </xf>
    <xf numFmtId="0" fontId="6" fillId="2" borderId="18" xfId="0" applyFont="1" applyFill="1" applyBorder="1" applyAlignment="1" applyProtection="1">
      <alignment horizontal="left"/>
      <protection locked="0"/>
    </xf>
    <xf numFmtId="0" fontId="6" fillId="2" borderId="31" xfId="0" applyFont="1" applyFill="1" applyBorder="1" applyAlignment="1" applyProtection="1">
      <alignment horizontal="left"/>
      <protection locked="0"/>
    </xf>
    <xf numFmtId="0" fontId="6" fillId="2" borderId="19" xfId="0" applyFont="1" applyFill="1" applyBorder="1" applyAlignment="1" applyProtection="1">
      <alignment horizontal="left"/>
      <protection locked="0"/>
    </xf>
    <xf numFmtId="0" fontId="6" fillId="2" borderId="20" xfId="0" applyFont="1" applyFill="1" applyBorder="1" applyAlignment="1" applyProtection="1">
      <alignment horizontal="left"/>
      <protection locked="0"/>
    </xf>
    <xf numFmtId="0" fontId="6" fillId="0" borderId="21" xfId="0" applyFont="1" applyBorder="1" applyAlignment="1" applyProtection="1">
      <alignment horizontal="left"/>
      <protection locked="0"/>
    </xf>
    <xf numFmtId="0" fontId="6" fillId="0" borderId="22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vertical="center" wrapText="1"/>
      <protection hidden="1"/>
    </xf>
    <xf numFmtId="0" fontId="0" fillId="0" borderId="30" xfId="0" applyBorder="1" applyProtection="1">
      <protection hidden="1"/>
    </xf>
    <xf numFmtId="0" fontId="0" fillId="0" borderId="28" xfId="0" applyBorder="1" applyProtection="1">
      <protection hidden="1"/>
    </xf>
    <xf numFmtId="0" fontId="8" fillId="0" borderId="52" xfId="0" applyFont="1" applyBorder="1" applyAlignment="1" applyProtection="1">
      <alignment horizontal="left" vertical="center" wrapText="1"/>
      <protection locked="0"/>
    </xf>
    <xf numFmtId="0" fontId="8" fillId="0" borderId="53" xfId="0" applyFont="1" applyBorder="1" applyAlignment="1" applyProtection="1">
      <alignment horizontal="left" vertical="center" wrapText="1"/>
      <protection locked="0"/>
    </xf>
    <xf numFmtId="0" fontId="8" fillId="0" borderId="50" xfId="0" applyFont="1" applyBorder="1" applyAlignment="1" applyProtection="1">
      <alignment horizontal="left" vertical="center" wrapText="1"/>
      <protection locked="0"/>
    </xf>
    <xf numFmtId="0" fontId="1" fillId="0" borderId="20" xfId="0" applyFont="1" applyBorder="1" applyAlignment="1" applyProtection="1">
      <alignment vertical="center" wrapText="1"/>
      <protection hidden="1"/>
    </xf>
    <xf numFmtId="0" fontId="1" fillId="0" borderId="21" xfId="0" applyFont="1" applyBorder="1" applyProtection="1">
      <protection hidden="1"/>
    </xf>
    <xf numFmtId="0" fontId="1" fillId="0" borderId="21" xfId="0" applyFont="1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vertical="center"/>
      <protection hidden="1"/>
    </xf>
    <xf numFmtId="0" fontId="1" fillId="0" borderId="35" xfId="0" applyFont="1" applyBorder="1" applyAlignment="1" applyProtection="1">
      <alignment vertical="center"/>
      <protection hidden="1"/>
    </xf>
    <xf numFmtId="0" fontId="3" fillId="2" borderId="11" xfId="0" applyFont="1" applyFill="1" applyBorder="1" applyAlignment="1" applyProtection="1">
      <alignment horizontal="left" vertical="center" wrapText="1"/>
      <protection locked="0"/>
    </xf>
    <xf numFmtId="0" fontId="3" fillId="2" borderId="35" xfId="0" applyFont="1" applyFill="1" applyBorder="1" applyAlignment="1" applyProtection="1">
      <alignment horizontal="left"/>
      <protection locked="0"/>
    </xf>
    <xf numFmtId="0" fontId="3" fillId="2" borderId="12" xfId="0" applyFont="1" applyFill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left" vertical="center" wrapText="1"/>
      <protection hidden="1"/>
    </xf>
    <xf numFmtId="0" fontId="1" fillId="0" borderId="22" xfId="0" applyFont="1" applyBorder="1" applyAlignment="1" applyProtection="1">
      <alignment horizontal="left" vertical="center" wrapText="1"/>
      <protection hidden="1"/>
    </xf>
    <xf numFmtId="0" fontId="17" fillId="3" borderId="21" xfId="0" applyFont="1" applyFill="1" applyBorder="1" applyAlignment="1" applyProtection="1">
      <alignment horizontal="left"/>
      <protection locked="0"/>
    </xf>
    <xf numFmtId="0" fontId="17" fillId="3" borderId="22" xfId="0" applyFont="1" applyFill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vertical="center"/>
      <protection hidden="1"/>
    </xf>
    <xf numFmtId="0" fontId="1" fillId="0" borderId="21" xfId="0" applyFont="1" applyBorder="1" applyAlignment="1" applyProtection="1">
      <alignment vertical="center"/>
      <protection hidden="1"/>
    </xf>
    <xf numFmtId="0" fontId="3" fillId="5" borderId="20" xfId="0" applyFont="1" applyFill="1" applyBorder="1" applyAlignment="1" applyProtection="1">
      <alignment horizontal="left" vertical="center"/>
      <protection locked="0"/>
    </xf>
    <xf numFmtId="0" fontId="3" fillId="5" borderId="21" xfId="0" applyFont="1" applyFill="1" applyBorder="1" applyAlignment="1" applyProtection="1">
      <alignment horizontal="left"/>
      <protection locked="0"/>
    </xf>
    <xf numFmtId="0" fontId="3" fillId="5" borderId="22" xfId="0" applyFont="1" applyFill="1" applyBorder="1" applyAlignment="1" applyProtection="1">
      <alignment horizontal="left"/>
      <protection locked="0"/>
    </xf>
    <xf numFmtId="0" fontId="3" fillId="2" borderId="20" xfId="0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/>
      <protection locked="0"/>
    </xf>
    <xf numFmtId="0" fontId="3" fillId="0" borderId="22" xfId="0" applyFont="1" applyBorder="1" applyAlignment="1" applyProtection="1">
      <alignment horizontal="left"/>
      <protection locked="0"/>
    </xf>
    <xf numFmtId="0" fontId="0" fillId="0" borderId="21" xfId="0" applyBorder="1" applyProtection="1">
      <protection hidden="1"/>
    </xf>
    <xf numFmtId="0" fontId="1" fillId="0" borderId="20" xfId="0" applyFont="1" applyBorder="1" applyAlignment="1" applyProtection="1">
      <alignment horizontal="left" vertical="center"/>
      <protection hidden="1"/>
    </xf>
    <xf numFmtId="0" fontId="1" fillId="0" borderId="22" xfId="0" applyFont="1" applyBorder="1" applyAlignment="1" applyProtection="1">
      <alignment horizontal="left" vertical="center"/>
      <protection hidden="1"/>
    </xf>
    <xf numFmtId="0" fontId="5" fillId="0" borderId="23" xfId="0" applyFont="1" applyBorder="1" applyAlignment="1" applyProtection="1">
      <alignment horizontal="left" vertical="center"/>
      <protection hidden="1"/>
    </xf>
    <xf numFmtId="0" fontId="0" fillId="0" borderId="29" xfId="0" applyBorder="1" applyAlignment="1" applyProtection="1">
      <alignment horizontal="left" vertical="center"/>
      <protection hidden="1"/>
    </xf>
    <xf numFmtId="0" fontId="7" fillId="2" borderId="23" xfId="0" applyFont="1" applyFill="1" applyBorder="1" applyAlignment="1" applyProtection="1">
      <alignment horizontal="left" vertical="center"/>
      <protection locked="0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29" xfId="0" applyFont="1" applyBorder="1" applyAlignment="1" applyProtection="1">
      <alignment horizontal="left" vertical="center"/>
      <protection locked="0"/>
    </xf>
    <xf numFmtId="0" fontId="1" fillId="0" borderId="23" xfId="0" applyFont="1" applyBorder="1" applyAlignment="1" applyProtection="1">
      <alignment vertical="center" wrapText="1"/>
      <protection hidden="1"/>
    </xf>
    <xf numFmtId="0" fontId="0" fillId="0" borderId="39" xfId="0" applyBorder="1" applyProtection="1">
      <protection hidden="1"/>
    </xf>
    <xf numFmtId="0" fontId="3" fillId="0" borderId="1" xfId="0" applyFont="1" applyBorder="1" applyAlignment="1" applyProtection="1">
      <alignment vertical="center"/>
      <protection hidden="1"/>
    </xf>
    <xf numFmtId="0" fontId="0" fillId="0" borderId="2" xfId="0" applyBorder="1" applyProtection="1">
      <protection hidden="1"/>
    </xf>
    <xf numFmtId="0" fontId="0" fillId="0" borderId="15" xfId="0" applyBorder="1" applyProtection="1">
      <protection hidden="1"/>
    </xf>
    <xf numFmtId="0" fontId="1" fillId="0" borderId="18" xfId="0" applyFont="1" applyBorder="1" applyAlignment="1" applyProtection="1">
      <alignment vertical="center" wrapText="1"/>
      <protection hidden="1"/>
    </xf>
    <xf numFmtId="0" fontId="0" fillId="0" borderId="19" xfId="0" applyBorder="1" applyProtection="1">
      <protection hidden="1"/>
    </xf>
    <xf numFmtId="49" fontId="3" fillId="4" borderId="18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1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3" fillId="2" borderId="20" xfId="0" applyFont="1" applyFill="1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/>
      <protection locked="0"/>
    </xf>
    <xf numFmtId="0" fontId="3" fillId="2" borderId="13" xfId="0" applyFont="1" applyFill="1" applyBorder="1" applyAlignment="1" applyProtection="1">
      <alignment horizontal="left" vertical="center" wrapText="1"/>
      <protection locked="0"/>
    </xf>
    <xf numFmtId="0" fontId="0" fillId="0" borderId="34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9" fillId="0" borderId="1" xfId="0" applyFont="1" applyBorder="1" applyAlignment="1" applyProtection="1">
      <alignment horizontal="left" vertical="center"/>
      <protection hidden="1"/>
    </xf>
    <xf numFmtId="0" fontId="9" fillId="0" borderId="2" xfId="0" applyFont="1" applyBorder="1" applyAlignment="1" applyProtection="1">
      <alignment horizontal="left" vertical="center"/>
      <protection hidden="1"/>
    </xf>
    <xf numFmtId="0" fontId="9" fillId="0" borderId="3" xfId="0" applyFont="1" applyBorder="1" applyAlignment="1" applyProtection="1">
      <alignment horizontal="left" vertical="center"/>
      <protection hidden="1"/>
    </xf>
    <xf numFmtId="0" fontId="1" fillId="0" borderId="18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" fillId="0" borderId="5" xfId="0" applyFont="1" applyBorder="1" applyAlignment="1" applyProtection="1">
      <alignment vertical="center" wrapText="1"/>
      <protection hidden="1"/>
    </xf>
    <xf numFmtId="0" fontId="0" fillId="0" borderId="10" xfId="0" applyBorder="1" applyProtection="1">
      <protection hidden="1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6" xfId="0" applyBorder="1" applyAlignment="1" applyProtection="1">
      <alignment horizontal="left" wrapText="1"/>
      <protection locked="0"/>
    </xf>
    <xf numFmtId="0" fontId="0" fillId="0" borderId="15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2" xfId="0" applyBorder="1"/>
    <xf numFmtId="0" fontId="1" fillId="3" borderId="21" xfId="0" applyFont="1" applyFill="1" applyBorder="1" applyAlignment="1" applyProtection="1">
      <alignment horizontal="left"/>
      <protection locked="0"/>
    </xf>
    <xf numFmtId="0" fontId="0" fillId="3" borderId="22" xfId="0" applyFill="1" applyBorder="1" applyAlignment="1" applyProtection="1">
      <alignment horizontal="left"/>
      <protection locked="0"/>
    </xf>
    <xf numFmtId="14" fontId="20" fillId="3" borderId="21" xfId="0" applyNumberFormat="1" applyFont="1" applyFill="1" applyBorder="1" applyAlignment="1" applyProtection="1">
      <alignment horizontal="left"/>
      <protection locked="0"/>
    </xf>
    <xf numFmtId="14" fontId="21" fillId="0" borderId="22" xfId="0" applyNumberFormat="1" applyFont="1" applyBorder="1" applyAlignment="1">
      <alignment horizontal="left"/>
    </xf>
    <xf numFmtId="0" fontId="20" fillId="3" borderId="21" xfId="0" applyFont="1" applyFill="1" applyBorder="1" applyAlignment="1" applyProtection="1">
      <alignment horizontal="left"/>
      <protection locked="0"/>
    </xf>
    <xf numFmtId="0" fontId="21" fillId="0" borderId="22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1" fillId="3" borderId="20" xfId="0" applyFont="1" applyFill="1" applyBorder="1" applyAlignment="1" applyProtection="1">
      <alignment vertical="center"/>
      <protection hidden="1"/>
    </xf>
    <xf numFmtId="0" fontId="1" fillId="3" borderId="21" xfId="0" applyFont="1" applyFill="1" applyBorder="1" applyAlignment="1" applyProtection="1">
      <alignment vertical="center"/>
      <protection hidden="1"/>
    </xf>
    <xf numFmtId="0" fontId="3" fillId="2" borderId="33" xfId="0" applyFont="1" applyFill="1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0" fontId="1" fillId="3" borderId="20" xfId="0" applyFont="1" applyFill="1" applyBorder="1" applyAlignment="1" applyProtection="1">
      <alignment horizontal="left" vertical="center"/>
      <protection hidden="1"/>
    </xf>
    <xf numFmtId="0" fontId="1" fillId="3" borderId="22" xfId="0" applyFont="1" applyFill="1" applyBorder="1" applyAlignment="1" applyProtection="1">
      <alignment horizontal="left" vertical="center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AppData\Roaming\Skype\My%20Skype%20Received%20Files\PL_questionnaire_Screens_EN%20RU%20PL%201309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reens"/>
      <sheetName val="RUS"/>
      <sheetName val="ENG"/>
      <sheetName val="US ENG"/>
      <sheetName val="POL"/>
    </sheetNames>
    <sheetDataSet>
      <sheetData sheetId="0">
        <row r="2">
          <cell r="C2" t="str">
            <v>Винтовая решетка с вращающейся граблиной РВОБ1</v>
          </cell>
        </row>
      </sheetData>
      <sheetData sheetId="1" refreshError="1"/>
      <sheetData sheetId="2" refreshError="1"/>
      <sheetData sheetId="3" refreshError="1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51"/>
  <sheetViews>
    <sheetView tabSelected="1" zoomScaleNormal="100" workbookViewId="0">
      <selection activeCell="C1" sqref="C1:D1"/>
    </sheetView>
  </sheetViews>
  <sheetFormatPr defaultColWidth="0" defaultRowHeight="14.25" zeroHeight="1" x14ac:dyDescent="0.2"/>
  <cols>
    <col min="1" max="1" width="2" style="2" customWidth="1"/>
    <col min="2" max="2" width="28.5703125" style="3" customWidth="1"/>
    <col min="3" max="3" width="40.5703125" style="3" customWidth="1"/>
    <col min="4" max="4" width="25.5703125" style="3" customWidth="1"/>
    <col min="5" max="5" width="28.7109375" style="3" customWidth="1"/>
    <col min="6" max="6" width="58.28515625" style="3" customWidth="1"/>
    <col min="7" max="7" width="5" style="2" customWidth="1"/>
    <col min="8" max="8" width="24" style="2" customWidth="1"/>
    <col min="9" max="9" width="7" style="2" customWidth="1"/>
    <col min="10" max="10" width="57.42578125" style="2" hidden="1" customWidth="1"/>
    <col min="11" max="24" width="20.7109375" style="3" hidden="1" customWidth="1"/>
    <col min="25" max="16384" width="0.85546875" style="3" hidden="1"/>
  </cols>
  <sheetData>
    <row r="1" spans="1:19" s="85" customFormat="1" ht="34.5" customHeight="1" thickBot="1" x14ac:dyDescent="0.3">
      <c r="A1" s="84"/>
      <c r="B1" s="107" t="str">
        <f ca="1">INDIRECT("'"&amp;$H$2&amp;"'!B2")</f>
        <v>Запрос на решетку</v>
      </c>
      <c r="C1" s="123" t="s">
        <v>184</v>
      </c>
      <c r="D1" s="124"/>
      <c r="E1" s="84"/>
      <c r="F1" s="84"/>
      <c r="G1" s="84"/>
      <c r="H1" s="84"/>
      <c r="I1" s="84"/>
      <c r="J1" s="84"/>
    </row>
    <row r="2" spans="1:19" ht="30" customHeight="1" x14ac:dyDescent="0.2">
      <c r="B2" s="184" t="str">
        <f ca="1">INDIRECT("'"&amp;$H$2&amp;"'!B3")</f>
        <v>Информация о заказчике</v>
      </c>
      <c r="C2" s="185"/>
      <c r="D2" s="185"/>
      <c r="E2" s="186"/>
      <c r="F2" s="187"/>
      <c r="H2" s="121" t="s">
        <v>129</v>
      </c>
      <c r="I2" s="104"/>
      <c r="J2" s="2" t="str">
        <f ca="1">INDIRECT("'"&amp;$H$2&amp;"'!i3")</f>
        <v>Грабельная решетка РКЭ</v>
      </c>
      <c r="K2" s="3" t="str">
        <f ca="1">INDIRECT("'"&amp;$H$2&amp;"'!J3")</f>
        <v>Бытовые</v>
      </c>
      <c r="L2" s="3" t="str">
        <f ca="1">INDIRECT("'"&amp;$H$2&amp;"'!K3")</f>
        <v>AISI 304</v>
      </c>
    </row>
    <row r="3" spans="1:19" ht="15" customHeight="1" x14ac:dyDescent="0.2">
      <c r="B3" s="54" t="str">
        <f ca="1">INDIRECT("'"&amp;$H$2&amp;"'!B4")</f>
        <v>Заказчик</v>
      </c>
      <c r="C3" s="109"/>
      <c r="D3" s="54" t="str">
        <f ca="1">INDIRECT("'"&amp;$H$2&amp;"'!D4")</f>
        <v>Контактное лицо</v>
      </c>
      <c r="E3" s="188"/>
      <c r="F3" s="189"/>
      <c r="H3" s="108" t="str">
        <f ca="1">INDIRECT("'"&amp;$H$2&amp;"'!H4")</f>
        <v>Выберите</v>
      </c>
      <c r="J3" s="2" t="str">
        <f ca="1">INDIRECT("'"&amp;$H$2&amp;"'!i4")</f>
        <v>Грабельная решетка РМКЭ</v>
      </c>
      <c r="K3" s="3" t="str">
        <f ca="1">INDIRECT("'"&amp;$H$2&amp;"'!J4")</f>
        <v>Промышленные</v>
      </c>
      <c r="L3" s="3" t="str">
        <f ca="1">INDIRECT("'"&amp;$H$2&amp;"'!K4")</f>
        <v>AISI 304L</v>
      </c>
    </row>
    <row r="4" spans="1:19" ht="15" customHeight="1" x14ac:dyDescent="0.2">
      <c r="B4" s="54" t="str">
        <f ca="1">INDIRECT("'"&amp;$H$2&amp;"'!B5")</f>
        <v>Наименование объекта</v>
      </c>
      <c r="C4" s="109"/>
      <c r="D4" s="54" t="str">
        <f ca="1">INDIRECT("'"&amp;$H$2&amp;"'!D5")</f>
        <v>Телефон</v>
      </c>
      <c r="E4" s="188"/>
      <c r="F4" s="189"/>
      <c r="H4" s="120" t="str">
        <f ca="1">INDIRECT("'"&amp;$H$2&amp;"'!H5")</f>
        <v>Пожалуйста заполните</v>
      </c>
      <c r="J4" s="2" t="str">
        <f ca="1">INDIRECT("'"&amp;$H$2&amp;"'!i5")</f>
        <v>Ступенчатая решетка РСК</v>
      </c>
      <c r="L4" s="3" t="str">
        <f ca="1">INDIRECT("'"&amp;$H$2&amp;"'!K5")</f>
        <v>AISI 316</v>
      </c>
    </row>
    <row r="5" spans="1:19" ht="15" customHeight="1" x14ac:dyDescent="0.2">
      <c r="B5" s="54" t="str">
        <f ca="1">INDIRECT("'"&amp;$H$2&amp;"'!B6")</f>
        <v>Страна</v>
      </c>
      <c r="C5" s="109"/>
      <c r="D5" s="54" t="str">
        <f ca="1">INDIRECT("'"&amp;$H$2&amp;"'!D6")</f>
        <v>Email</v>
      </c>
      <c r="E5" s="188"/>
      <c r="F5" s="189"/>
      <c r="J5" s="2" t="str">
        <f ca="1">INDIRECT("'"&amp;$H$2&amp;"'!i6")</f>
        <v>Крючковая решетка РККТ</v>
      </c>
      <c r="K5" s="3" t="str">
        <f ca="1">INDIRECT("'"&amp;$H$2&amp;"'!J6")</f>
        <v>Напорная</v>
      </c>
      <c r="L5" s="3" t="str">
        <f ca="1">INDIRECT("'"&amp;$H$2&amp;"'!K6")</f>
        <v>AISI 316L</v>
      </c>
    </row>
    <row r="6" spans="1:19" ht="15" customHeight="1" thickBot="1" x14ac:dyDescent="0.25">
      <c r="B6" s="54" t="str">
        <f ca="1">INDIRECT("'"&amp;$H$2&amp;"'!B7")</f>
        <v>-</v>
      </c>
      <c r="C6" s="110"/>
      <c r="D6" s="54" t="str">
        <f ca="1">INDIRECT("'"&amp;$H$2&amp;"'!D7")</f>
        <v>Дата заполнения</v>
      </c>
      <c r="E6" s="190"/>
      <c r="F6" s="191"/>
      <c r="J6" s="2" t="str">
        <f ca="1">INDIRECT("'"&amp;$H$2&amp;"'!i7")</f>
        <v>Винтовая решетка РВО</v>
      </c>
      <c r="K6" s="3" t="str">
        <f ca="1">INDIRECT("'"&amp;$H$2&amp;"'!J7")</f>
        <v>Самотечная</v>
      </c>
      <c r="L6" s="3" t="str">
        <f ca="1">INDIRECT("'"&amp;$H$2&amp;"'!K7")</f>
        <v>Другое</v>
      </c>
    </row>
    <row r="7" spans="1:19" ht="30.6" customHeight="1" x14ac:dyDescent="0.2">
      <c r="B7" s="181" t="str">
        <f ca="1">INDIRECT("'"&amp;$H$2&amp;"'!B8")</f>
        <v>Основная информация</v>
      </c>
      <c r="C7" s="182"/>
      <c r="D7" s="182"/>
      <c r="E7" s="182"/>
      <c r="F7" s="183"/>
      <c r="J7" s="2" t="str">
        <f ca="1">INDIRECT("'"&amp;$H$2&amp;"'!i8")</f>
        <v>Винтовая решетка с вращающейся граблиной РВОБ1</v>
      </c>
    </row>
    <row r="8" spans="1:19" ht="15" customHeight="1" x14ac:dyDescent="0.2">
      <c r="B8" s="138" t="str">
        <f ca="1">INDIRECT("'"&amp;$H$2&amp;"'!B9")</f>
        <v>Тип сточных вод</v>
      </c>
      <c r="C8" s="139"/>
      <c r="D8" s="141"/>
      <c r="E8" s="88" t="str">
        <f ca="1">INDIRECT("'"&amp;$H$2&amp;"'!E9")</f>
        <v>Вид промышленности</v>
      </c>
      <c r="F8" s="111"/>
      <c r="J8" s="2" t="str">
        <f ca="1">INDIRECT("'"&amp;$H$2&amp;"'!i9")</f>
        <v>Винтовая решетка с вращающейся корзиной РВОБ2</v>
      </c>
      <c r="K8" s="3" t="str">
        <f ca="1">INDIRECT("'"&amp;$H$2&amp;"'!J9")</f>
        <v>Да</v>
      </c>
      <c r="L8" s="3" t="str">
        <f ca="1">INDIRECT("'"&amp;$H$2&amp;"'!K9")</f>
        <v>Наружное</v>
      </c>
    </row>
    <row r="9" spans="1:19" ht="30" customHeight="1" x14ac:dyDescent="0.25">
      <c r="B9" s="131"/>
      <c r="C9" s="140"/>
      <c r="D9" s="142"/>
      <c r="E9" s="89" t="str">
        <f ca="1">INDIRECT("'"&amp;$H$2&amp;"'!E10")</f>
        <v>Уточните источник образования стоков</v>
      </c>
      <c r="F9" s="111"/>
      <c r="J9" s="2" t="str">
        <f ca="1">INDIRECT("'"&amp;$H$2&amp;"'!i10")</f>
        <v>Барабанная решетка РМБТП</v>
      </c>
      <c r="K9" s="4" t="str">
        <f ca="1">INDIRECT("'"&amp;$H$2&amp;"'!J10")</f>
        <v>Нет</v>
      </c>
      <c r="L9" s="2" t="str">
        <f ca="1">INDIRECT("'"&amp;$H$2&amp;"'!K10")</f>
        <v>В помещении</v>
      </c>
      <c r="M9" s="2"/>
      <c r="N9" s="2"/>
      <c r="O9" s="4" t="s">
        <v>36</v>
      </c>
      <c r="P9" s="2"/>
    </row>
    <row r="10" spans="1:19" ht="15" customHeight="1" x14ac:dyDescent="0.25">
      <c r="B10" s="198" t="str">
        <f ca="1">INDIRECT("'"&amp;$H$2&amp;"'!B11")</f>
        <v>Характеристики сточных вод</v>
      </c>
      <c r="C10" s="115" t="str">
        <f ca="1">INDIRECT("'"&amp;$H$2&amp;"'!C11")</f>
        <v>pH</v>
      </c>
      <c r="D10" s="202"/>
      <c r="E10" s="203"/>
      <c r="F10" s="204"/>
      <c r="J10" s="2" t="str">
        <f ca="1">INDIRECT("'"&amp;$H$2&amp;"'!i11")</f>
        <v>Щеточная решетка РМБЩ</v>
      </c>
      <c r="K10" s="4" t="str">
        <f ca="1">INDIRECT("'"&amp;$H$2&amp;"'!J11")</f>
        <v>В канале</v>
      </c>
      <c r="L10" s="4" t="str">
        <f ca="1">INDIRECT("'"&amp;$H$2&amp;"'!k11")</f>
        <v>Накопление</v>
      </c>
      <c r="M10" s="2"/>
      <c r="N10" s="2"/>
      <c r="O10" s="4"/>
      <c r="P10" s="2"/>
    </row>
    <row r="11" spans="1:19" ht="15" customHeight="1" x14ac:dyDescent="0.25">
      <c r="B11" s="198"/>
      <c r="C11" s="116" t="str">
        <f ca="1">INDIRECT("'"&amp;$H$2&amp;"'!C12")</f>
        <v>Хлориды, мг/л</v>
      </c>
      <c r="D11" s="180"/>
      <c r="E11" s="127"/>
      <c r="F11" s="128"/>
      <c r="J11" s="2" t="str">
        <f ca="1">INDIRECT("'"&amp;$H$2&amp;"'!i12")</f>
        <v>Решетка дробилка РКД</v>
      </c>
      <c r="K11" s="4" t="str">
        <f ca="1">INDIRECT("'"&amp;$H$2&amp;"'!J12")</f>
        <v>В емкости</v>
      </c>
      <c r="L11" s="4" t="str">
        <f ca="1">INDIRECT("'"&amp;$H$2&amp;"'!k12")</f>
        <v>Уплотнение с отмывкой</v>
      </c>
      <c r="M11" s="2"/>
      <c r="N11" s="2"/>
      <c r="O11" s="4"/>
      <c r="P11" s="2"/>
    </row>
    <row r="12" spans="1:19" ht="15" customHeight="1" x14ac:dyDescent="0.25">
      <c r="B12" s="198"/>
      <c r="C12" s="116" t="str">
        <f ca="1">INDIRECT("'"&amp;$H$2&amp;"'!C13")</f>
        <v>Взвешенные вещества, мг/л</v>
      </c>
      <c r="D12" s="180"/>
      <c r="E12" s="127"/>
      <c r="F12" s="128"/>
      <c r="J12" s="2" t="str">
        <f ca="1">INDIRECT("'"&amp;$H$2&amp;"'!i13")</f>
        <v>Решетка ротационная РБР</v>
      </c>
      <c r="K12" s="4"/>
      <c r="L12" s="4" t="str">
        <f ca="1">INDIRECT("'"&amp;$H$2&amp;"'!k13")</f>
        <v>Уплотнение с интенсивной отмывкой</v>
      </c>
      <c r="M12" s="2"/>
      <c r="N12" s="2"/>
      <c r="O12" s="4"/>
      <c r="P12" s="2"/>
    </row>
    <row r="13" spans="1:19" ht="15" customHeight="1" x14ac:dyDescent="0.25">
      <c r="B13" s="198"/>
      <c r="C13" s="117" t="str">
        <f ca="1">INDIRECT("'"&amp;$H$2&amp;"'!C14")</f>
        <v>Плавающие вещества, мг/л</v>
      </c>
      <c r="D13" s="205"/>
      <c r="E13" s="206"/>
      <c r="F13" s="207"/>
      <c r="K13" s="4"/>
      <c r="L13" s="2"/>
      <c r="M13" s="2"/>
      <c r="N13" s="2"/>
      <c r="O13" s="4"/>
      <c r="P13" s="2"/>
    </row>
    <row r="14" spans="1:19" ht="15" customHeight="1" x14ac:dyDescent="0.25">
      <c r="B14" s="129" t="str">
        <f ca="1">INDIRECT("'"&amp;$H$2&amp;"'!B15")</f>
        <v>Необходимое количество установок</v>
      </c>
      <c r="C14" s="116" t="str">
        <f ca="1">INDIRECT("'"&amp;$H$2&amp;"'!C15")</f>
        <v>Рабочих</v>
      </c>
      <c r="D14" s="200"/>
      <c r="E14" s="200"/>
      <c r="F14" s="201"/>
      <c r="K14" s="4"/>
      <c r="L14" s="2"/>
      <c r="M14" s="2"/>
      <c r="N14" s="2"/>
      <c r="O14" s="4"/>
      <c r="P14" s="2"/>
    </row>
    <row r="15" spans="1:19" ht="15" customHeight="1" thickBot="1" x14ac:dyDescent="0.3">
      <c r="B15" s="198"/>
      <c r="C15" s="116" t="str">
        <f ca="1">INDIRECT("'"&amp;$H$2&amp;"'!C16")</f>
        <v>-</v>
      </c>
      <c r="D15" s="200"/>
      <c r="E15" s="200"/>
      <c r="F15" s="201"/>
      <c r="K15" s="4"/>
      <c r="L15" s="2"/>
      <c r="M15" s="2"/>
      <c r="N15" s="2"/>
      <c r="O15" s="4"/>
      <c r="P15" s="2"/>
    </row>
    <row r="16" spans="1:19" ht="15" customHeight="1" thickBot="1" x14ac:dyDescent="0.25">
      <c r="B16" s="199"/>
      <c r="C16" s="116" t="str">
        <f ca="1">INDIRECT("'"&amp;$H$2&amp;"'!C17")</f>
        <v>Резервных</v>
      </c>
      <c r="D16" s="200"/>
      <c r="E16" s="200"/>
      <c r="F16" s="201"/>
      <c r="K16" s="8" t="s">
        <v>105</v>
      </c>
      <c r="L16" s="8"/>
      <c r="M16" s="8" t="s">
        <v>68</v>
      </c>
      <c r="N16" s="2"/>
      <c r="O16" s="8" t="s">
        <v>37</v>
      </c>
      <c r="P16" s="8" t="s">
        <v>2</v>
      </c>
      <c r="R16" s="9" t="s">
        <v>73</v>
      </c>
      <c r="S16" s="10" t="s">
        <v>74</v>
      </c>
    </row>
    <row r="17" spans="2:19" ht="15" customHeight="1" thickBot="1" x14ac:dyDescent="0.25">
      <c r="B17" s="129" t="str">
        <f ca="1">INDIRECT("'"&amp;$H$2&amp;"'!B18")</f>
        <v>Расход (общий на все установки), м3/час</v>
      </c>
      <c r="C17" s="116" t="str">
        <f ca="1">INDIRECT("'"&amp;$H$2&amp;"'!C18")</f>
        <v>Максимальный</v>
      </c>
      <c r="D17" s="112"/>
      <c r="E17" s="135" t="str">
        <f ca="1">INDIRECT("'"&amp;$H$2&amp;"'!E18")</f>
        <v>-</v>
      </c>
      <c r="F17" s="106" t="str">
        <f ca="1">INDIRECT("'"&amp;$H$2&amp;"'!F18")</f>
        <v xml:space="preserve"> </v>
      </c>
      <c r="K17" s="8" t="s">
        <v>106</v>
      </c>
      <c r="L17" s="11"/>
      <c r="M17" s="11"/>
      <c r="N17" s="2"/>
      <c r="O17" s="8"/>
      <c r="P17" s="8" t="s">
        <v>38</v>
      </c>
      <c r="R17" s="12"/>
      <c r="S17" s="12" t="s">
        <v>89</v>
      </c>
    </row>
    <row r="18" spans="2:19" ht="15" customHeight="1" thickBot="1" x14ac:dyDescent="0.25">
      <c r="B18" s="130"/>
      <c r="C18" s="116" t="str">
        <f ca="1">INDIRECT("'"&amp;$H$2&amp;"'!C19")</f>
        <v>Средний</v>
      </c>
      <c r="D18" s="112"/>
      <c r="E18" s="136"/>
      <c r="F18" s="114"/>
      <c r="K18" s="8"/>
      <c r="L18" s="8"/>
      <c r="M18" s="8"/>
      <c r="N18" s="2"/>
      <c r="O18" s="8"/>
      <c r="P18" s="8" t="s">
        <v>3</v>
      </c>
      <c r="R18" s="10" t="s">
        <v>79</v>
      </c>
      <c r="S18" s="10" t="s">
        <v>68</v>
      </c>
    </row>
    <row r="19" spans="2:19" ht="15" customHeight="1" thickBot="1" x14ac:dyDescent="0.25">
      <c r="B19" s="131"/>
      <c r="C19" s="116" t="str">
        <f ca="1">INDIRECT("'"&amp;$H$2&amp;"'!C20")</f>
        <v>Минимальный</v>
      </c>
      <c r="D19" s="113"/>
      <c r="E19" s="137"/>
      <c r="F19" s="114"/>
      <c r="K19" s="8"/>
      <c r="L19" s="8"/>
      <c r="M19" s="8"/>
      <c r="N19" s="2"/>
      <c r="O19" s="8"/>
      <c r="P19" s="8"/>
      <c r="R19" s="13" t="s">
        <v>80</v>
      </c>
      <c r="S19" s="13" t="s">
        <v>82</v>
      </c>
    </row>
    <row r="20" spans="2:19" ht="15" customHeight="1" thickBot="1" x14ac:dyDescent="0.25">
      <c r="B20" s="132" t="str">
        <f ca="1">INDIRECT("'"&amp;$H$2&amp;"'!B21")</f>
        <v>Подача стоков</v>
      </c>
      <c r="C20" s="126"/>
      <c r="D20" s="122"/>
      <c r="E20" s="133" t="str">
        <f ca="1">INDIRECT("'"&amp;$H$2&amp;"'!E21")</f>
        <v>-</v>
      </c>
      <c r="F20" s="134"/>
      <c r="K20" s="8"/>
      <c r="L20" s="8"/>
      <c r="M20" s="8"/>
      <c r="N20" s="2"/>
      <c r="O20" s="8"/>
      <c r="P20" s="8"/>
      <c r="R20" s="14"/>
      <c r="S20" s="14"/>
    </row>
    <row r="21" spans="2:19" ht="15" customHeight="1" thickBot="1" x14ac:dyDescent="0.25">
      <c r="B21" s="125" t="str">
        <f ca="1">INDIRECT("'"&amp;$H$2&amp;"'!B22")</f>
        <v xml:space="preserve">Установка </v>
      </c>
      <c r="C21" s="126"/>
      <c r="D21" s="122"/>
      <c r="E21" s="143" t="str">
        <f ca="1">INDIRECT("'"&amp;$H$2&amp;"'!E22")</f>
        <v>-</v>
      </c>
      <c r="F21" s="144"/>
      <c r="K21" s="8"/>
      <c r="L21" s="8"/>
      <c r="M21" s="8"/>
      <c r="N21" s="2"/>
      <c r="O21" s="8"/>
      <c r="P21" s="8"/>
      <c r="R21" s="14"/>
      <c r="S21" s="14"/>
    </row>
    <row r="22" spans="2:19" ht="15" customHeight="1" thickBot="1" x14ac:dyDescent="0.25">
      <c r="B22" s="125" t="str">
        <f ca="1">INDIRECT("'"&amp;$H$2&amp;"'!B23")</f>
        <v>Прозор*, мм</v>
      </c>
      <c r="C22" s="126"/>
      <c r="D22" s="127"/>
      <c r="E22" s="127"/>
      <c r="F22" s="128"/>
      <c r="K22" s="8" t="s">
        <v>0</v>
      </c>
      <c r="L22" s="8" t="s">
        <v>99</v>
      </c>
      <c r="M22" s="8" t="s">
        <v>115</v>
      </c>
      <c r="N22" s="2"/>
      <c r="O22" s="8"/>
      <c r="P22" s="8"/>
      <c r="R22" s="12" t="s">
        <v>81</v>
      </c>
      <c r="S22" s="12" t="s">
        <v>83</v>
      </c>
    </row>
    <row r="23" spans="2:19" ht="15" customHeight="1" thickBot="1" x14ac:dyDescent="0.25">
      <c r="B23" s="125" t="str">
        <f ca="1">INDIRECT("'"&amp;$H$2&amp;"'!B24")</f>
        <v>Дальнейшая обработка отбросов</v>
      </c>
      <c r="C23" s="126"/>
      <c r="D23" s="192"/>
      <c r="E23" s="193"/>
      <c r="F23" s="194"/>
      <c r="K23" s="8"/>
      <c r="L23" s="11" t="s">
        <v>100</v>
      </c>
      <c r="M23" s="11" t="s">
        <v>108</v>
      </c>
      <c r="N23" s="2"/>
      <c r="O23" s="8"/>
      <c r="P23" s="8" t="s">
        <v>39</v>
      </c>
      <c r="R23" s="10" t="s">
        <v>76</v>
      </c>
      <c r="S23" s="10" t="s">
        <v>77</v>
      </c>
    </row>
    <row r="24" spans="2:19" ht="15" customHeight="1" thickBot="1" x14ac:dyDescent="0.25">
      <c r="B24" s="125" t="str">
        <f ca="1">INDIRECT("'"&amp;$H$2&amp;"'!B25")</f>
        <v>-</v>
      </c>
      <c r="C24" s="126"/>
      <c r="D24" s="127"/>
      <c r="E24" s="127"/>
      <c r="F24" s="128"/>
      <c r="K24" s="8"/>
      <c r="L24" s="11"/>
      <c r="M24" s="11"/>
      <c r="N24" s="2"/>
      <c r="O24" s="8"/>
      <c r="P24" s="8"/>
      <c r="R24" s="15"/>
      <c r="S24" s="15"/>
    </row>
    <row r="25" spans="2:19" ht="15" customHeight="1" thickBot="1" x14ac:dyDescent="0.25">
      <c r="B25" s="125" t="str">
        <f ca="1">INDIRECT("'"&amp;$H$2&amp;"'!B26")</f>
        <v>Высота выгрузки от уровня пола, мм</v>
      </c>
      <c r="C25" s="126"/>
      <c r="D25" s="127"/>
      <c r="E25" s="127"/>
      <c r="F25" s="128"/>
      <c r="K25" s="8"/>
      <c r="L25" s="8" t="s">
        <v>99</v>
      </c>
      <c r="M25" s="11" t="s">
        <v>109</v>
      </c>
      <c r="N25" s="2"/>
      <c r="O25" s="8" t="s">
        <v>40</v>
      </c>
      <c r="P25" s="8" t="s">
        <v>2</v>
      </c>
      <c r="R25" s="12"/>
      <c r="S25" s="12" t="s">
        <v>78</v>
      </c>
    </row>
    <row r="26" spans="2:19" ht="15" customHeight="1" thickBot="1" x14ac:dyDescent="0.25">
      <c r="B26" s="151" t="str">
        <f ca="1">INDIRECT("'"&amp;$H$2&amp;"'!B27")</f>
        <v>Диаметр подводящего трубопровода, мм</v>
      </c>
      <c r="C26" s="170"/>
      <c r="D26" s="127"/>
      <c r="E26" s="127"/>
      <c r="F26" s="128"/>
      <c r="K26" s="8"/>
      <c r="L26" s="11" t="s">
        <v>100</v>
      </c>
      <c r="M26" s="11" t="s">
        <v>109</v>
      </c>
      <c r="N26" s="2"/>
      <c r="O26" s="8"/>
      <c r="P26" s="8" t="s">
        <v>41</v>
      </c>
      <c r="R26" s="10" t="s">
        <v>79</v>
      </c>
      <c r="S26" s="10" t="s">
        <v>75</v>
      </c>
    </row>
    <row r="27" spans="2:19" ht="15" customHeight="1" thickBot="1" x14ac:dyDescent="0.25">
      <c r="B27" s="151" t="str">
        <f ca="1">INDIRECT("'"&amp;$H$2&amp;"'!B28")</f>
        <v>-</v>
      </c>
      <c r="C27" s="170"/>
      <c r="D27" s="127"/>
      <c r="E27" s="127"/>
      <c r="F27" s="128"/>
      <c r="K27" s="8" t="s">
        <v>1</v>
      </c>
      <c r="L27" s="8" t="s">
        <v>102</v>
      </c>
      <c r="M27" s="8" t="s">
        <v>68</v>
      </c>
      <c r="N27" s="2"/>
      <c r="O27" s="8"/>
      <c r="P27" s="8" t="s">
        <v>42</v>
      </c>
      <c r="R27" s="13" t="s">
        <v>80</v>
      </c>
      <c r="S27" s="13" t="s">
        <v>68</v>
      </c>
    </row>
    <row r="28" spans="2:19" ht="15" customHeight="1" thickBot="1" x14ac:dyDescent="0.25">
      <c r="B28" s="151" t="str">
        <f ca="1">INDIRECT("'"&amp;$H$2&amp;"'!B29")</f>
        <v>Длина прямого участка канала, мм</v>
      </c>
      <c r="C28" s="152"/>
      <c r="D28" s="180"/>
      <c r="E28" s="127"/>
      <c r="F28" s="128"/>
      <c r="K28" s="8"/>
      <c r="L28" s="8" t="s">
        <v>101</v>
      </c>
      <c r="M28" s="8" t="s">
        <v>92</v>
      </c>
      <c r="N28" s="2"/>
      <c r="O28" s="8"/>
      <c r="P28" s="8"/>
      <c r="R28" s="14"/>
      <c r="S28" s="14"/>
    </row>
    <row r="29" spans="2:19" ht="15" customHeight="1" thickBot="1" x14ac:dyDescent="0.25">
      <c r="B29" s="171" t="str">
        <f ca="1">INDIRECT("'"&amp;$H$2&amp;"'!B30")</f>
        <v>Материал**</v>
      </c>
      <c r="C29" s="172"/>
      <c r="D29" s="195"/>
      <c r="E29" s="196"/>
      <c r="F29" s="197"/>
      <c r="K29" s="8"/>
      <c r="L29" s="8" t="s">
        <v>102</v>
      </c>
      <c r="M29" s="8" t="s">
        <v>68</v>
      </c>
      <c r="N29" s="2"/>
      <c r="O29" s="8"/>
      <c r="P29" s="8" t="s">
        <v>39</v>
      </c>
      <c r="R29" s="12" t="s">
        <v>81</v>
      </c>
      <c r="S29" s="12" t="s">
        <v>75</v>
      </c>
    </row>
    <row r="30" spans="2:19" ht="29.45" customHeight="1" thickBot="1" x14ac:dyDescent="0.25">
      <c r="B30" s="173" t="str">
        <f ca="1">INDIRECT("'"&amp;$H$2&amp;"'!B31")</f>
        <v>Автоматизация</v>
      </c>
      <c r="C30" s="174"/>
      <c r="D30" s="175"/>
      <c r="E30" s="175"/>
      <c r="F30" s="176"/>
      <c r="K30" s="8"/>
      <c r="L30" s="8" t="s">
        <v>101</v>
      </c>
      <c r="M30" s="8" t="s">
        <v>93</v>
      </c>
      <c r="N30" s="2"/>
      <c r="O30" s="8" t="s">
        <v>43</v>
      </c>
      <c r="P30" s="8" t="s">
        <v>44</v>
      </c>
      <c r="R30" s="10" t="s">
        <v>79</v>
      </c>
      <c r="S30" s="10" t="s">
        <v>68</v>
      </c>
    </row>
    <row r="31" spans="2:19" ht="15" customHeight="1" thickBot="1" x14ac:dyDescent="0.25">
      <c r="B31" s="132" t="str">
        <f ca="1">INDIRECT("'"&amp;$H$2&amp;"'!B32")</f>
        <v>Шкаф управления</v>
      </c>
      <c r="C31" s="177"/>
      <c r="D31" s="178"/>
      <c r="E31" s="178"/>
      <c r="F31" s="179"/>
      <c r="K31" s="8"/>
      <c r="L31" s="8"/>
      <c r="M31" s="8"/>
      <c r="N31" s="2"/>
      <c r="O31" s="8"/>
      <c r="P31" s="8"/>
      <c r="R31" s="29"/>
      <c r="S31" s="29"/>
    </row>
    <row r="32" spans="2:19" ht="15" customHeight="1" thickBot="1" x14ac:dyDescent="0.25">
      <c r="B32" s="163" t="str">
        <f ca="1">INDIRECT("'"&amp;$H$2&amp;"'!B33")</f>
        <v>Приводы</v>
      </c>
      <c r="C32" s="118" t="str">
        <f ca="1">INDIRECT("'"&amp;$H$2&amp;"'!C33")</f>
        <v>Исполнение (IP)</v>
      </c>
      <c r="D32" s="127"/>
      <c r="E32" s="165"/>
      <c r="F32" s="166"/>
      <c r="K32" s="8"/>
      <c r="L32" s="8"/>
      <c r="M32" s="8"/>
      <c r="N32" s="2"/>
      <c r="O32" s="8"/>
      <c r="P32" s="8"/>
      <c r="R32" s="29"/>
      <c r="S32" s="29"/>
    </row>
    <row r="33" spans="2:19" ht="45" customHeight="1" thickBot="1" x14ac:dyDescent="0.25">
      <c r="B33" s="164"/>
      <c r="C33" s="119" t="str">
        <f ca="1">INDIRECT("'"&amp;$H$2&amp;"'!C34")</f>
        <v>Требования по взрывозащите (EX): класс/зона (указать ГОСТ, IEC или иное)</v>
      </c>
      <c r="D33" s="167"/>
      <c r="E33" s="168"/>
      <c r="F33" s="169"/>
      <c r="K33" s="8"/>
      <c r="L33" s="8"/>
      <c r="M33" s="8"/>
      <c r="N33" s="2"/>
      <c r="O33" s="8"/>
      <c r="P33" s="8"/>
      <c r="R33" s="29"/>
      <c r="S33" s="29"/>
    </row>
    <row r="34" spans="2:19" ht="31.15" customHeight="1" thickBot="1" x14ac:dyDescent="0.25">
      <c r="B34" s="148" t="str">
        <f ca="1">INDIRECT("'"&amp;$H$2&amp;"'!B35")</f>
        <v>Информация о месте установки оборудования ****</v>
      </c>
      <c r="C34" s="149"/>
      <c r="D34" s="149"/>
      <c r="E34" s="149"/>
      <c r="F34" s="150"/>
      <c r="K34" s="8"/>
      <c r="L34" s="8"/>
      <c r="M34" s="8"/>
      <c r="N34" s="2"/>
      <c r="O34" s="8"/>
      <c r="P34" s="8"/>
      <c r="R34" s="29"/>
      <c r="S34" s="29"/>
    </row>
    <row r="35" spans="2:19" ht="33.75" customHeight="1" thickBot="1" x14ac:dyDescent="0.4">
      <c r="B35" s="151" t="str">
        <f ca="1">INDIRECT("'"&amp;$H$2&amp;"'!B36")</f>
        <v>Размещение</v>
      </c>
      <c r="C35" s="152"/>
      <c r="D35" s="122"/>
      <c r="E35" s="90" t="str">
        <f ca="1">INDIRECT("'"&amp;$H$2&amp;"'!E36")</f>
        <v>-</v>
      </c>
      <c r="F35" s="114"/>
      <c r="G35" s="83"/>
      <c r="K35" s="8"/>
      <c r="L35" s="8"/>
      <c r="M35" s="8"/>
      <c r="N35" s="2"/>
      <c r="O35" s="8" t="s">
        <v>45</v>
      </c>
      <c r="P35" s="8" t="s">
        <v>46</v>
      </c>
      <c r="R35" s="12" t="s">
        <v>81</v>
      </c>
      <c r="S35" s="12" t="s">
        <v>63</v>
      </c>
    </row>
    <row r="36" spans="2:19" ht="20.25" customHeight="1" thickBot="1" x14ac:dyDescent="0.25">
      <c r="B36" s="153" t="str">
        <f ca="1">INDIRECT("'"&amp;$H$2&amp;"'!B37")</f>
        <v>-</v>
      </c>
      <c r="C36" s="154"/>
      <c r="D36" s="155"/>
      <c r="E36" s="156"/>
      <c r="F36" s="157"/>
      <c r="K36" s="8"/>
      <c r="L36" s="8"/>
      <c r="M36" s="8"/>
      <c r="N36" s="2"/>
      <c r="O36" s="8" t="s">
        <v>47</v>
      </c>
      <c r="P36" s="8"/>
      <c r="R36" s="10" t="s">
        <v>79</v>
      </c>
      <c r="S36" s="10" t="s">
        <v>68</v>
      </c>
    </row>
    <row r="37" spans="2:19" s="2" customFormat="1" ht="18.75" customHeight="1" thickBot="1" x14ac:dyDescent="0.25">
      <c r="B37" s="158" t="str">
        <f ca="1">INDIRECT("'"&amp;$H$2&amp;"'!B38")</f>
        <v>Другая важная информация</v>
      </c>
      <c r="C37" s="159"/>
      <c r="D37" s="161"/>
      <c r="E37" s="161"/>
      <c r="F37" s="161"/>
      <c r="K37" s="8"/>
      <c r="L37" s="8"/>
      <c r="M37" s="8"/>
      <c r="O37" s="8" t="s">
        <v>71</v>
      </c>
      <c r="P37" s="8"/>
      <c r="R37" s="18" t="s">
        <v>80</v>
      </c>
      <c r="S37" s="18" t="s">
        <v>64</v>
      </c>
    </row>
    <row r="38" spans="2:19" ht="11.25" customHeight="1" thickBot="1" x14ac:dyDescent="0.4">
      <c r="B38" s="160"/>
      <c r="C38" s="160"/>
      <c r="D38" s="162"/>
      <c r="E38" s="162"/>
      <c r="F38" s="162"/>
      <c r="K38" s="11" t="s">
        <v>4</v>
      </c>
      <c r="L38" s="8" t="s">
        <v>86</v>
      </c>
      <c r="M38" s="8"/>
      <c r="N38" s="2"/>
      <c r="O38" s="8" t="s">
        <v>33</v>
      </c>
      <c r="P38" s="8"/>
      <c r="R38" s="10" t="s">
        <v>79</v>
      </c>
      <c r="S38" s="10" t="s">
        <v>68</v>
      </c>
    </row>
    <row r="39" spans="2:19" ht="15" customHeight="1" thickBot="1" x14ac:dyDescent="0.25">
      <c r="B39" s="86" t="str">
        <f ca="1">INDIRECT("'"&amp;$H$2&amp;"'!B40")</f>
        <v>* Тип фильтрующей поверхности - см. описание решетки.</v>
      </c>
      <c r="C39" s="87"/>
      <c r="D39" s="86"/>
      <c r="E39" s="87"/>
      <c r="F39" s="87"/>
      <c r="K39" s="11"/>
      <c r="L39" s="8" t="s">
        <v>5</v>
      </c>
      <c r="M39" s="8"/>
      <c r="N39" s="2"/>
      <c r="O39" s="8" t="s">
        <v>34</v>
      </c>
      <c r="P39" s="8"/>
      <c r="R39" s="13" t="s">
        <v>80</v>
      </c>
      <c r="S39" s="13" t="s">
        <v>57</v>
      </c>
    </row>
    <row r="40" spans="2:19" ht="15" customHeight="1" thickBot="1" x14ac:dyDescent="0.25">
      <c r="B40" s="86" t="str">
        <f ca="1">INDIRECT("'"&amp;$H$2&amp;"'!B41")</f>
        <v>** См. описание решетки.</v>
      </c>
      <c r="C40" s="87"/>
      <c r="D40" s="86"/>
      <c r="E40" s="87"/>
      <c r="F40" s="87"/>
      <c r="K40" s="11"/>
      <c r="L40" s="8" t="s">
        <v>6</v>
      </c>
      <c r="M40" s="8" t="s">
        <v>68</v>
      </c>
      <c r="N40" s="2"/>
      <c r="O40" s="8" t="s">
        <v>49</v>
      </c>
      <c r="P40" s="8"/>
      <c r="R40" s="12" t="s">
        <v>81</v>
      </c>
      <c r="S40" s="12" t="s">
        <v>57</v>
      </c>
    </row>
    <row r="41" spans="2:19" ht="15" customHeight="1" thickBot="1" x14ac:dyDescent="0.4">
      <c r="B41" s="99" t="str">
        <f ca="1">INDIRECT("'"&amp;$H$2&amp;"'!B42")</f>
        <v>-</v>
      </c>
      <c r="C41" s="17"/>
      <c r="D41" s="16"/>
      <c r="E41" s="17"/>
      <c r="F41" s="17"/>
      <c r="K41" s="11" t="s">
        <v>7</v>
      </c>
      <c r="L41" s="8" t="s">
        <v>104</v>
      </c>
      <c r="M41" s="8" t="s">
        <v>116</v>
      </c>
      <c r="N41" s="2"/>
      <c r="O41" s="8" t="s">
        <v>50</v>
      </c>
      <c r="P41" s="8" t="s">
        <v>51</v>
      </c>
      <c r="R41" s="10" t="s">
        <v>79</v>
      </c>
      <c r="S41" s="10" t="s">
        <v>68</v>
      </c>
    </row>
    <row r="42" spans="2:19" ht="19.5" customHeight="1" thickBot="1" x14ac:dyDescent="0.3">
      <c r="B42" s="105" t="str">
        <f ca="1">INDIRECT("'"&amp;$H$2&amp;"'!B43")</f>
        <v>**** Пожалуйста приложите чертежи или другие исходные данные к опросному листу. Это ускорит наш ответ.</v>
      </c>
      <c r="C42" s="17"/>
      <c r="D42" s="16"/>
      <c r="E42" s="2"/>
      <c r="F42" s="17"/>
      <c r="K42" s="11"/>
      <c r="L42" s="8" t="s">
        <v>103</v>
      </c>
      <c r="M42" s="8" t="s">
        <v>68</v>
      </c>
      <c r="N42" s="2"/>
      <c r="O42" s="8"/>
      <c r="P42" s="8" t="s">
        <v>52</v>
      </c>
      <c r="R42" s="13" t="s">
        <v>80</v>
      </c>
      <c r="S42" s="13" t="s">
        <v>65</v>
      </c>
    </row>
    <row r="43" spans="2:19" ht="15" customHeight="1" thickBot="1" x14ac:dyDescent="0.3">
      <c r="B43" s="16"/>
      <c r="C43" s="17"/>
      <c r="D43" s="17"/>
      <c r="E43" s="17"/>
      <c r="F43" s="17"/>
      <c r="K43" s="11" t="s">
        <v>32</v>
      </c>
      <c r="L43" s="8" t="s">
        <v>105</v>
      </c>
      <c r="M43" s="8"/>
      <c r="N43" s="2"/>
      <c r="O43" s="8"/>
      <c r="P43" s="8" t="s">
        <v>69</v>
      </c>
      <c r="R43" s="12" t="s">
        <v>81</v>
      </c>
      <c r="S43" s="12" t="s">
        <v>65</v>
      </c>
    </row>
    <row r="44" spans="2:19" ht="15" hidden="1" customHeight="1" thickBot="1" x14ac:dyDescent="0.3">
      <c r="B44" s="93"/>
      <c r="C44" s="17"/>
      <c r="D44" s="94"/>
      <c r="E44" s="17"/>
      <c r="F44" s="17"/>
      <c r="K44" s="8"/>
      <c r="L44" s="8" t="s">
        <v>106</v>
      </c>
      <c r="M44" s="8"/>
      <c r="N44" s="2"/>
      <c r="O44" s="8" t="s">
        <v>32</v>
      </c>
      <c r="P44" s="8" t="s">
        <v>62</v>
      </c>
      <c r="R44" s="10" t="s">
        <v>79</v>
      </c>
      <c r="S44" s="10" t="s">
        <v>68</v>
      </c>
    </row>
    <row r="45" spans="2:19" ht="15" hidden="1" customHeight="1" thickBot="1" x14ac:dyDescent="0.3">
      <c r="B45" s="93"/>
      <c r="C45" s="17"/>
      <c r="D45" s="16"/>
      <c r="E45" s="17"/>
      <c r="F45" s="17"/>
      <c r="K45" s="8" t="s">
        <v>8</v>
      </c>
      <c r="L45" s="8"/>
      <c r="M45" s="8"/>
      <c r="N45" s="2"/>
      <c r="O45" s="8"/>
      <c r="P45" s="8" t="s">
        <v>23</v>
      </c>
      <c r="R45" s="13" t="s">
        <v>80</v>
      </c>
      <c r="S45" s="13" t="s">
        <v>70</v>
      </c>
    </row>
    <row r="46" spans="2:19" ht="15" hidden="1" customHeight="1" thickBot="1" x14ac:dyDescent="0.3">
      <c r="B46" s="93"/>
      <c r="C46" s="17"/>
      <c r="D46" s="16"/>
      <c r="E46" s="2"/>
      <c r="F46" s="95"/>
      <c r="K46" s="8" t="s">
        <v>72</v>
      </c>
      <c r="L46" s="8"/>
      <c r="M46" s="8"/>
      <c r="N46" s="2"/>
      <c r="O46" s="24" t="s">
        <v>53</v>
      </c>
      <c r="P46" s="24"/>
      <c r="R46" s="12" t="s">
        <v>81</v>
      </c>
      <c r="S46" s="12" t="s">
        <v>70</v>
      </c>
    </row>
    <row r="47" spans="2:19" ht="15" hidden="1" customHeight="1" thickBot="1" x14ac:dyDescent="0.3">
      <c r="B47" s="17"/>
      <c r="C47" s="17"/>
      <c r="D47" s="17"/>
      <c r="E47" s="2"/>
      <c r="F47" s="95"/>
      <c r="K47" s="11" t="s">
        <v>9</v>
      </c>
      <c r="L47" s="8" t="s">
        <v>10</v>
      </c>
      <c r="M47" s="8"/>
      <c r="N47" s="2"/>
      <c r="O47" s="8" t="s">
        <v>20</v>
      </c>
      <c r="P47" s="8" t="s">
        <v>22</v>
      </c>
      <c r="R47" s="10" t="s">
        <v>79</v>
      </c>
      <c r="S47" s="10" t="s">
        <v>68</v>
      </c>
    </row>
    <row r="48" spans="2:19" ht="15" hidden="1" customHeight="1" thickBot="1" x14ac:dyDescent="0.3">
      <c r="B48" s="93"/>
      <c r="C48" s="17"/>
      <c r="D48" s="17"/>
      <c r="E48" s="17"/>
      <c r="F48" s="17"/>
      <c r="K48" s="11"/>
      <c r="L48" s="8" t="s">
        <v>11</v>
      </c>
      <c r="M48" s="8"/>
      <c r="N48" s="2"/>
      <c r="O48" s="8"/>
      <c r="P48" s="8" t="s">
        <v>23</v>
      </c>
      <c r="R48" s="13" t="s">
        <v>80</v>
      </c>
      <c r="S48" s="13" t="s">
        <v>30</v>
      </c>
    </row>
    <row r="49" spans="2:19" ht="15" hidden="1" customHeight="1" thickBot="1" x14ac:dyDescent="0.3">
      <c r="B49" s="93"/>
      <c r="C49" s="17"/>
      <c r="D49" s="16"/>
      <c r="E49" s="17"/>
      <c r="F49" s="17"/>
      <c r="K49" s="11"/>
      <c r="L49" s="8" t="s">
        <v>12</v>
      </c>
      <c r="M49" s="8"/>
      <c r="N49" s="2"/>
      <c r="O49" s="8" t="s">
        <v>54</v>
      </c>
      <c r="P49" s="8"/>
      <c r="R49" s="12" t="s">
        <v>81</v>
      </c>
      <c r="S49" s="12" t="s">
        <v>30</v>
      </c>
    </row>
    <row r="50" spans="2:19" ht="15" hidden="1" customHeight="1" thickBot="1" x14ac:dyDescent="0.3">
      <c r="B50" s="17"/>
      <c r="C50" s="17"/>
      <c r="D50" s="17"/>
      <c r="E50" s="17"/>
      <c r="F50" s="17"/>
      <c r="K50" s="11" t="s">
        <v>35</v>
      </c>
      <c r="L50" s="8" t="s">
        <v>66</v>
      </c>
      <c r="M50" s="8"/>
      <c r="N50" s="2"/>
      <c r="O50" s="24" t="s">
        <v>25</v>
      </c>
      <c r="P50" s="8"/>
    </row>
    <row r="51" spans="2:19" ht="15" hidden="1" customHeight="1" thickBot="1" x14ac:dyDescent="0.25">
      <c r="K51" s="11"/>
      <c r="L51" s="8" t="s">
        <v>67</v>
      </c>
      <c r="M51" s="8"/>
      <c r="N51" s="2"/>
      <c r="O51" s="8" t="s">
        <v>55</v>
      </c>
      <c r="P51" s="8"/>
    </row>
    <row r="52" spans="2:19" ht="15" hidden="1" customHeight="1" thickBot="1" x14ac:dyDescent="0.25">
      <c r="K52" s="11"/>
      <c r="L52" s="8"/>
      <c r="M52" s="8"/>
      <c r="N52" s="2"/>
      <c r="O52" s="8" t="s">
        <v>56</v>
      </c>
      <c r="P52" s="8"/>
    </row>
    <row r="53" spans="2:19" ht="15" hidden="1" customHeight="1" thickBot="1" x14ac:dyDescent="0.25">
      <c r="K53" s="11"/>
      <c r="L53" s="8"/>
      <c r="M53" s="8"/>
      <c r="N53" s="2"/>
      <c r="O53" s="8" t="s">
        <v>57</v>
      </c>
      <c r="P53" s="8" t="s">
        <v>58</v>
      </c>
    </row>
    <row r="54" spans="2:19" ht="15" hidden="1" customHeight="1" thickBot="1" x14ac:dyDescent="0.25">
      <c r="K54" s="8" t="s">
        <v>13</v>
      </c>
      <c r="L54" s="8" t="s">
        <v>14</v>
      </c>
      <c r="M54" s="8"/>
      <c r="N54" s="2"/>
      <c r="O54" s="8"/>
      <c r="P54" s="8" t="s">
        <v>59</v>
      </c>
    </row>
    <row r="55" spans="2:19" ht="15" hidden="1" customHeight="1" thickBot="1" x14ac:dyDescent="0.25">
      <c r="K55" s="8"/>
      <c r="L55" s="8" t="s">
        <v>15</v>
      </c>
      <c r="M55" s="8"/>
      <c r="N55" s="2"/>
      <c r="O55" s="8" t="s">
        <v>60</v>
      </c>
      <c r="P55" s="8"/>
    </row>
    <row r="56" spans="2:19" ht="15" hidden="1" thickBot="1" x14ac:dyDescent="0.25">
      <c r="B56" s="37"/>
      <c r="D56" s="38"/>
      <c r="K56" s="8"/>
      <c r="L56" s="8" t="s">
        <v>16</v>
      </c>
      <c r="M56" s="8"/>
      <c r="N56" s="2"/>
      <c r="O56" s="8" t="s">
        <v>61</v>
      </c>
      <c r="P56" s="8"/>
    </row>
    <row r="57" spans="2:19" ht="15" hidden="1" thickBot="1" x14ac:dyDescent="0.25">
      <c r="K57" s="8"/>
      <c r="L57" s="8" t="s">
        <v>17</v>
      </c>
      <c r="M57" s="8"/>
      <c r="N57" s="2"/>
      <c r="O57" s="8" t="s">
        <v>30</v>
      </c>
      <c r="P57" s="8" t="s">
        <v>22</v>
      </c>
    </row>
    <row r="58" spans="2:19" ht="15" hidden="1" thickBot="1" x14ac:dyDescent="0.25">
      <c r="D58" s="145"/>
      <c r="E58" s="145"/>
      <c r="F58" s="38"/>
      <c r="K58" s="8"/>
      <c r="L58" s="8" t="s">
        <v>110</v>
      </c>
      <c r="M58" s="8"/>
      <c r="N58" s="2"/>
      <c r="O58" s="8"/>
      <c r="P58" s="8"/>
    </row>
    <row r="59" spans="2:19" ht="15" hidden="1" customHeight="1" thickBot="1" x14ac:dyDescent="0.25">
      <c r="D59" s="145"/>
      <c r="E59" s="145"/>
      <c r="F59" s="37"/>
      <c r="K59" s="8"/>
      <c r="L59" s="8"/>
      <c r="M59" s="8"/>
      <c r="N59" s="2"/>
      <c r="O59" s="8"/>
      <c r="P59" s="8"/>
    </row>
    <row r="60" spans="2:19" ht="15" hidden="1" thickBot="1" x14ac:dyDescent="0.25">
      <c r="F60" s="37"/>
      <c r="K60" s="8"/>
      <c r="L60" s="8"/>
      <c r="M60" s="8"/>
      <c r="N60" s="2"/>
      <c r="O60" s="8"/>
      <c r="P60" s="8"/>
    </row>
    <row r="61" spans="2:19" ht="15" hidden="1" customHeight="1" thickBot="1" x14ac:dyDescent="0.25">
      <c r="D61" s="146"/>
      <c r="E61" s="145"/>
      <c r="F61" s="145"/>
      <c r="K61" s="8"/>
      <c r="L61" s="8"/>
      <c r="M61" s="8"/>
      <c r="N61" s="2"/>
      <c r="O61" s="8"/>
      <c r="P61" s="8" t="s">
        <v>23</v>
      </c>
    </row>
    <row r="62" spans="2:19" ht="15" hidden="1" customHeight="1" thickBot="1" x14ac:dyDescent="0.25">
      <c r="D62" s="147"/>
      <c r="E62" s="145"/>
      <c r="F62" s="38"/>
      <c r="K62" s="8" t="s">
        <v>18</v>
      </c>
      <c r="L62" s="8" t="s">
        <v>19</v>
      </c>
      <c r="M62" s="8"/>
      <c r="N62" s="2"/>
      <c r="O62" s="25"/>
      <c r="P62" s="25"/>
    </row>
    <row r="63" spans="2:19" ht="15.75" hidden="1" customHeight="1" thickBot="1" x14ac:dyDescent="0.25">
      <c r="D63" s="147"/>
      <c r="E63" s="145"/>
      <c r="F63" s="38"/>
      <c r="K63" s="8" t="s">
        <v>20</v>
      </c>
      <c r="L63" s="8" t="s">
        <v>21</v>
      </c>
      <c r="M63" s="8" t="s">
        <v>22</v>
      </c>
      <c r="N63" s="2" t="s">
        <v>24</v>
      </c>
      <c r="O63" s="8" t="s">
        <v>22</v>
      </c>
      <c r="P63" s="2" t="s">
        <v>87</v>
      </c>
    </row>
    <row r="64" spans="2:19" ht="15" hidden="1" customHeight="1" thickBot="1" x14ac:dyDescent="0.25">
      <c r="K64" s="8"/>
      <c r="L64" s="8"/>
      <c r="M64" s="8" t="s">
        <v>23</v>
      </c>
      <c r="N64" s="2" t="s">
        <v>68</v>
      </c>
      <c r="O64" s="8" t="s">
        <v>23</v>
      </c>
      <c r="P64" s="2" t="s">
        <v>68</v>
      </c>
    </row>
    <row r="65" spans="11:16" ht="15" hidden="1" customHeight="1" thickBot="1" x14ac:dyDescent="0.25">
      <c r="K65" s="26" t="s">
        <v>24</v>
      </c>
      <c r="L65" s="8" t="s">
        <v>88</v>
      </c>
      <c r="M65" s="8"/>
      <c r="N65" s="2"/>
      <c r="O65" s="8"/>
      <c r="P65" s="2"/>
    </row>
    <row r="66" spans="11:16" ht="15" hidden="1" customHeight="1" thickBot="1" x14ac:dyDescent="0.25">
      <c r="K66" s="8" t="s">
        <v>68</v>
      </c>
      <c r="L66" s="8"/>
      <c r="M66" s="8"/>
      <c r="N66" s="2"/>
      <c r="O66" s="2"/>
      <c r="P66" s="2"/>
    </row>
    <row r="67" spans="11:16" ht="15" hidden="1" customHeight="1" thickBot="1" x14ac:dyDescent="0.25">
      <c r="K67" s="8" t="s">
        <v>25</v>
      </c>
      <c r="L67" s="8" t="s">
        <v>26</v>
      </c>
      <c r="M67" s="8"/>
      <c r="N67" s="2"/>
      <c r="O67" s="2"/>
      <c r="P67" s="2"/>
    </row>
    <row r="68" spans="11:16" ht="15" hidden="1" customHeight="1" thickBot="1" x14ac:dyDescent="0.25">
      <c r="K68" s="8"/>
      <c r="L68" s="8" t="s">
        <v>111</v>
      </c>
      <c r="M68" s="8"/>
      <c r="N68" s="2"/>
      <c r="O68" s="2"/>
      <c r="P68" s="2"/>
    </row>
    <row r="69" spans="11:16" ht="15" hidden="1" customHeight="1" thickBot="1" x14ac:dyDescent="0.25">
      <c r="K69" s="8"/>
      <c r="L69" s="8" t="s">
        <v>27</v>
      </c>
      <c r="M69" s="8"/>
      <c r="N69" s="2"/>
      <c r="O69" s="2"/>
      <c r="P69" s="2"/>
    </row>
    <row r="70" spans="11:16" ht="15" hidden="1" customHeight="1" thickBot="1" x14ac:dyDescent="0.25">
      <c r="K70" s="8"/>
      <c r="L70" s="8" t="s">
        <v>28</v>
      </c>
      <c r="M70" s="8"/>
      <c r="N70" s="2"/>
      <c r="O70" s="2"/>
      <c r="P70" s="2"/>
    </row>
    <row r="71" spans="11:16" ht="15" hidden="1" customHeight="1" thickBot="1" x14ac:dyDescent="0.25">
      <c r="K71" s="8"/>
      <c r="L71" s="8" t="s">
        <v>29</v>
      </c>
      <c r="M71" s="8"/>
      <c r="N71" s="2"/>
      <c r="O71" s="2"/>
      <c r="P71" s="2"/>
    </row>
    <row r="72" spans="11:16" ht="15" hidden="1" customHeight="1" thickBot="1" x14ac:dyDescent="0.25">
      <c r="K72" s="8" t="s">
        <v>30</v>
      </c>
      <c r="L72" s="8" t="s">
        <v>22</v>
      </c>
      <c r="M72" s="8" t="s">
        <v>84</v>
      </c>
      <c r="N72" s="2"/>
      <c r="O72" s="2"/>
      <c r="P72" s="2"/>
    </row>
    <row r="73" spans="11:16" ht="15" hidden="1" customHeight="1" thickBot="1" x14ac:dyDescent="0.25">
      <c r="K73" s="8"/>
      <c r="L73" s="8" t="s">
        <v>23</v>
      </c>
      <c r="M73" s="8" t="s">
        <v>68</v>
      </c>
      <c r="N73" s="2"/>
      <c r="O73" s="2"/>
      <c r="P73" s="2"/>
    </row>
    <row r="74" spans="11:16" ht="15" hidden="1" thickBot="1" x14ac:dyDescent="0.25">
      <c r="K74" s="8"/>
      <c r="L74" s="8" t="s">
        <v>22</v>
      </c>
      <c r="M74" s="8" t="s">
        <v>85</v>
      </c>
      <c r="N74" s="2"/>
      <c r="O74" s="2"/>
      <c r="P74" s="2"/>
    </row>
    <row r="75" spans="11:16" ht="15" hidden="1" customHeight="1" thickBot="1" x14ac:dyDescent="0.25">
      <c r="K75" s="8"/>
      <c r="L75" s="8" t="s">
        <v>23</v>
      </c>
      <c r="M75" s="8" t="s">
        <v>68</v>
      </c>
      <c r="N75" s="2"/>
      <c r="O75" s="2"/>
      <c r="P75" s="2"/>
    </row>
    <row r="76" spans="11:16" ht="15" hidden="1" customHeight="1" thickBot="1" x14ac:dyDescent="0.25">
      <c r="K76" s="8" t="s">
        <v>31</v>
      </c>
      <c r="L76" s="8"/>
      <c r="M76" s="8"/>
      <c r="N76" s="2"/>
      <c r="O76" s="2"/>
      <c r="P76" s="2"/>
    </row>
    <row r="77" spans="11:16" ht="14.25" hidden="1" customHeight="1" x14ac:dyDescent="0.2"/>
    <row r="78" spans="11:16" ht="14.25" hidden="1" customHeight="1" x14ac:dyDescent="0.2"/>
    <row r="79" spans="11:16" ht="15" hidden="1" customHeight="1" x14ac:dyDescent="0.2"/>
    <row r="80" spans="11:16" x14ac:dyDescent="0.2"/>
    <row r="83" ht="14.25" hidden="1" customHeight="1" x14ac:dyDescent="0.2"/>
    <row r="86" ht="15" hidden="1" customHeight="1" x14ac:dyDescent="0.2"/>
    <row r="87" ht="15" hidden="1" customHeight="1" x14ac:dyDescent="0.2"/>
    <row r="89" ht="15" hidden="1" customHeight="1" x14ac:dyDescent="0.2"/>
    <row r="91" ht="14.25" hidden="1" customHeight="1" x14ac:dyDescent="0.2"/>
    <row r="92" ht="14.25" hidden="1" customHeight="1" x14ac:dyDescent="0.2"/>
    <row r="93" ht="14.25" hidden="1" customHeight="1" x14ac:dyDescent="0.2"/>
    <row r="94" ht="14.25" hidden="1" customHeight="1" x14ac:dyDescent="0.2"/>
    <row r="95" ht="15" hidden="1" customHeight="1" x14ac:dyDescent="0.2"/>
    <row r="99" ht="14.25" hidden="1" customHeight="1" x14ac:dyDescent="0.2"/>
    <row r="105" ht="15" hidden="1" customHeight="1" x14ac:dyDescent="0.2"/>
    <row r="110" ht="14.25" hidden="1" customHeight="1" x14ac:dyDescent="0.2"/>
    <row r="119" ht="14.25" hidden="1" customHeight="1" x14ac:dyDescent="0.2"/>
    <row r="126" ht="14.25" hidden="1" customHeight="1" x14ac:dyDescent="0.2"/>
    <row r="131" ht="14.25" hidden="1" customHeight="1" x14ac:dyDescent="0.2"/>
    <row r="132" ht="15" hidden="1" customHeight="1" x14ac:dyDescent="0.2"/>
    <row r="134" ht="15" hidden="1" customHeight="1" x14ac:dyDescent="0.2"/>
    <row r="135" ht="15" hidden="1" customHeight="1" x14ac:dyDescent="0.2"/>
    <row r="149" ht="15" hidden="1" customHeight="1" x14ac:dyDescent="0.2"/>
    <row r="150" ht="14.25" hidden="1" customHeight="1" x14ac:dyDescent="0.2"/>
    <row r="151" ht="21" hidden="1" customHeight="1" x14ac:dyDescent="0.2"/>
  </sheetData>
  <sheetProtection algorithmName="SHA-512" hashValue="5+qELygAVw4khKH3IGCVieeaJ7I2CJqWw/xZeRUniFvhnw23s0WjrrFw4xxvTk2w6q2mBW7NR0FboXGvZ/+dVQ==" saltValue="HMB9YzbCg6sa8UZnHSZPVg==" spinCount="100000" sheet="1" objects="1" scenarios="1" deleteColumns="0" deleteRows="0"/>
  <mergeCells count="57">
    <mergeCell ref="D23:F23"/>
    <mergeCell ref="D29:F29"/>
    <mergeCell ref="B10:B13"/>
    <mergeCell ref="B14:B16"/>
    <mergeCell ref="D14:F14"/>
    <mergeCell ref="D15:F15"/>
    <mergeCell ref="D16:F16"/>
    <mergeCell ref="D10:F10"/>
    <mergeCell ref="D11:F11"/>
    <mergeCell ref="D12:F12"/>
    <mergeCell ref="D13:F13"/>
    <mergeCell ref="B7:F7"/>
    <mergeCell ref="B2:F2"/>
    <mergeCell ref="E3:F3"/>
    <mergeCell ref="E4:F4"/>
    <mergeCell ref="E5:F5"/>
    <mergeCell ref="E6:F6"/>
    <mergeCell ref="B32:B33"/>
    <mergeCell ref="D32:F32"/>
    <mergeCell ref="D33:F33"/>
    <mergeCell ref="B26:C26"/>
    <mergeCell ref="D26:F26"/>
    <mergeCell ref="B27:C27"/>
    <mergeCell ref="D27:F27"/>
    <mergeCell ref="B28:C28"/>
    <mergeCell ref="B29:C29"/>
    <mergeCell ref="B30:F30"/>
    <mergeCell ref="B31:C31"/>
    <mergeCell ref="D31:F31"/>
    <mergeCell ref="D28:F28"/>
    <mergeCell ref="B34:F34"/>
    <mergeCell ref="B35:C35"/>
    <mergeCell ref="B36:C36"/>
    <mergeCell ref="D36:F36"/>
    <mergeCell ref="B37:C38"/>
    <mergeCell ref="D37:F38"/>
    <mergeCell ref="D58:E58"/>
    <mergeCell ref="D59:E59"/>
    <mergeCell ref="D61:F61"/>
    <mergeCell ref="D62:E62"/>
    <mergeCell ref="D63:E63"/>
    <mergeCell ref="C1:D1"/>
    <mergeCell ref="B22:C22"/>
    <mergeCell ref="B23:C23"/>
    <mergeCell ref="B24:C24"/>
    <mergeCell ref="B25:C25"/>
    <mergeCell ref="D25:F25"/>
    <mergeCell ref="D24:F24"/>
    <mergeCell ref="D22:F22"/>
    <mergeCell ref="B17:B19"/>
    <mergeCell ref="B20:C20"/>
    <mergeCell ref="E20:F20"/>
    <mergeCell ref="B21:C21"/>
    <mergeCell ref="E17:E19"/>
    <mergeCell ref="B8:C9"/>
    <mergeCell ref="D8:D9"/>
    <mergeCell ref="E21:F21"/>
  </mergeCells>
  <dataValidations count="13">
    <dataValidation type="list" allowBlank="1" showInputMessage="1" showErrorMessage="1" sqref="H2:I2" xr:uid="{00000000-0002-0000-0000-000000000000}">
      <formula1>"RUS, ENG, US ENG, POL"</formula1>
    </dataValidation>
    <dataValidation type="list" allowBlank="1" showErrorMessage="1" prompt="Please note that our dewatering equipment is not designed to be used at a temperature below 0 C." sqref="D35" xr:uid="{00000000-0002-0000-0000-000001000000}">
      <formula1>$L$8:$L$9</formula1>
    </dataValidation>
    <dataValidation allowBlank="1" showErrorMessage="1" prompt="Please indicate Cl- concentration if it is higher than 300 mg/l." sqref="D10:D13" xr:uid="{00000000-0002-0000-0000-000002000000}"/>
    <dataValidation type="list" allowBlank="1" showErrorMessage="1" prompt="Please indicate Cl- concentration if it is higher than 300 mg/l." sqref="D8:D9" xr:uid="{00000000-0002-0000-0000-000003000000}">
      <formula1>$K$2:$K$3</formula1>
    </dataValidation>
    <dataValidation type="list" allowBlank="1" showInputMessage="1" showErrorMessage="1" sqref="F62 D44 D46" xr:uid="{00000000-0002-0000-0000-000004000000}">
      <formula1>Yes_No</formula1>
    </dataValidation>
    <dataValidation type="list" allowBlank="1" showInputMessage="1" showErrorMessage="1" sqref="D45" xr:uid="{00000000-0002-0000-0000-000005000000}">
      <formula1>Motor_reductor</formula1>
    </dataValidation>
    <dataValidation type="list" allowBlank="1" showErrorMessage="1" sqref="D20" xr:uid="{00000000-0002-0000-0000-000006000000}">
      <formula1>$K$5:$K$6</formula1>
    </dataValidation>
    <dataValidation type="list" allowBlank="1" showErrorMessage="1" sqref="D21" xr:uid="{00000000-0002-0000-0000-000007000000}">
      <formula1>$K$10:$K$11</formula1>
    </dataValidation>
    <dataValidation allowBlank="1" showErrorMessage="1" sqref="D22 D25" xr:uid="{00000000-0002-0000-0000-000008000000}"/>
    <dataValidation type="list" allowBlank="1" showErrorMessage="1" sqref="D23" xr:uid="{00000000-0002-0000-0000-000009000000}">
      <formula1>$L$10:$L$12</formula1>
    </dataValidation>
    <dataValidation type="list" allowBlank="1" showInputMessage="1" showErrorMessage="1" sqref="D29" xr:uid="{00000000-0002-0000-0000-00000A000000}">
      <formula1>$L$2:$L$6</formula1>
    </dataValidation>
    <dataValidation type="list" allowBlank="1" showInputMessage="1" showErrorMessage="1" sqref="C1:D1" xr:uid="{00000000-0002-0000-0000-00000B000000}">
      <formula1>$J$2:$J$12</formula1>
    </dataValidation>
    <dataValidation type="list" allowBlank="1" showInputMessage="1" showErrorMessage="1" sqref="D31:F31" xr:uid="{00000000-0002-0000-0000-00000C000000}">
      <formula1>$K$8:$K$9</formula1>
    </dataValidation>
  </dataValidations>
  <pageMargins left="0.7" right="0.7" top="0.75" bottom="0.75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R157"/>
  <sheetViews>
    <sheetView topLeftCell="A8" zoomScale="85" zoomScaleNormal="85" workbookViewId="0">
      <selection activeCell="B28" sqref="B28:C28"/>
    </sheetView>
  </sheetViews>
  <sheetFormatPr defaultColWidth="0.85546875" defaultRowHeight="14.25" zeroHeight="1" x14ac:dyDescent="0.2"/>
  <cols>
    <col min="1" max="1" width="2" style="2" customWidth="1"/>
    <col min="2" max="2" width="23.7109375" style="3" customWidth="1"/>
    <col min="3" max="3" width="36" style="3" customWidth="1"/>
    <col min="4" max="4" width="21" style="3" customWidth="1"/>
    <col min="5" max="5" width="35.7109375" style="3" customWidth="1"/>
    <col min="6" max="6" width="57.28515625" style="3" customWidth="1"/>
    <col min="7" max="7" width="14.140625" style="2" customWidth="1"/>
    <col min="8" max="8" width="23.7109375" style="2" customWidth="1"/>
    <col min="9" max="9" width="49.7109375" style="2" customWidth="1"/>
    <col min="10" max="23" width="20.7109375" style="3" customWidth="1"/>
    <col min="24" max="16384" width="0.85546875" style="3"/>
  </cols>
  <sheetData>
    <row r="2" spans="2:15" ht="15.75" thickBot="1" x14ac:dyDescent="0.3">
      <c r="B2" s="4" t="s">
        <v>195</v>
      </c>
      <c r="C2" s="3" t="str">
        <f>Screens!C1</f>
        <v>Барабанная решетка РМБТП</v>
      </c>
      <c r="J2" s="3" t="s">
        <v>0</v>
      </c>
    </row>
    <row r="3" spans="2:15" ht="15" thickBot="1" x14ac:dyDescent="0.25">
      <c r="B3" s="211" t="s">
        <v>194</v>
      </c>
      <c r="C3" s="212"/>
      <c r="D3" s="212"/>
      <c r="E3" s="212"/>
      <c r="F3" s="213"/>
      <c r="H3" s="2" t="s">
        <v>129</v>
      </c>
      <c r="I3" s="3" t="s">
        <v>169</v>
      </c>
      <c r="J3" s="8" t="s">
        <v>196</v>
      </c>
      <c r="K3" s="3" t="s">
        <v>14</v>
      </c>
    </row>
    <row r="4" spans="2:15" ht="15" thickBot="1" x14ac:dyDescent="0.25">
      <c r="B4" s="54" t="s">
        <v>118</v>
      </c>
      <c r="C4" s="55"/>
      <c r="D4" s="56" t="s">
        <v>124</v>
      </c>
      <c r="E4" s="214"/>
      <c r="F4" s="215"/>
      <c r="H4" s="91" t="s">
        <v>270</v>
      </c>
      <c r="I4" s="3" t="s">
        <v>215</v>
      </c>
      <c r="J4" s="11" t="s">
        <v>197</v>
      </c>
      <c r="K4" s="3" t="s">
        <v>15</v>
      </c>
    </row>
    <row r="5" spans="2:15" x14ac:dyDescent="0.2">
      <c r="B5" s="54" t="s">
        <v>125</v>
      </c>
      <c r="C5" s="55"/>
      <c r="D5" s="56" t="s">
        <v>126</v>
      </c>
      <c r="E5" s="214"/>
      <c r="F5" s="215"/>
      <c r="H5" s="92" t="s">
        <v>271</v>
      </c>
      <c r="I5" s="3" t="s">
        <v>170</v>
      </c>
      <c r="K5" s="3" t="s">
        <v>16</v>
      </c>
    </row>
    <row r="6" spans="2:15" x14ac:dyDescent="0.2">
      <c r="B6" s="54" t="s">
        <v>119</v>
      </c>
      <c r="C6" s="55"/>
      <c r="D6" s="56" t="s">
        <v>127</v>
      </c>
      <c r="E6" s="214"/>
      <c r="F6" s="215"/>
      <c r="I6" s="3" t="s">
        <v>171</v>
      </c>
      <c r="J6" s="3" t="s">
        <v>104</v>
      </c>
      <c r="K6" s="3" t="s">
        <v>17</v>
      </c>
    </row>
    <row r="7" spans="2:15" ht="15" thickBot="1" x14ac:dyDescent="0.25">
      <c r="B7" s="57" t="s">
        <v>120</v>
      </c>
      <c r="C7" s="58"/>
      <c r="D7" s="59" t="s">
        <v>128</v>
      </c>
      <c r="E7" s="216"/>
      <c r="F7" s="217"/>
      <c r="I7" s="3" t="s">
        <v>172</v>
      </c>
      <c r="J7" s="3" t="s">
        <v>103</v>
      </c>
      <c r="K7" s="3" t="s">
        <v>110</v>
      </c>
    </row>
    <row r="8" spans="2:15" ht="15" thickBot="1" x14ac:dyDescent="0.25">
      <c r="B8" s="208" t="s">
        <v>117</v>
      </c>
      <c r="C8" s="209"/>
      <c r="D8" s="209"/>
      <c r="E8" s="209"/>
      <c r="F8" s="210"/>
      <c r="H8" s="3"/>
      <c r="I8" s="3" t="s">
        <v>173</v>
      </c>
    </row>
    <row r="9" spans="2:15" ht="17.25" customHeight="1" x14ac:dyDescent="0.2">
      <c r="B9" s="218" t="s">
        <v>90</v>
      </c>
      <c r="C9" s="219"/>
      <c r="D9" s="222">
        <f>Screens!D8</f>
        <v>0</v>
      </c>
      <c r="E9" s="60" t="str">
        <f>IF(D9="Municipal","Mixed with….","Type of industry")</f>
        <v>Type of industry</v>
      </c>
      <c r="F9" s="61"/>
      <c r="H9" s="3"/>
      <c r="I9" s="3" t="s">
        <v>174</v>
      </c>
      <c r="J9" s="3" t="s">
        <v>105</v>
      </c>
      <c r="K9" s="3" t="s">
        <v>101</v>
      </c>
    </row>
    <row r="10" spans="2:15" ht="60" customHeight="1" thickBot="1" x14ac:dyDescent="0.3">
      <c r="B10" s="220"/>
      <c r="C10" s="221"/>
      <c r="D10" s="223"/>
      <c r="E10" s="39" t="str">
        <f>IF(D9="Municipal","% of each mixed type","Specify wastewater sources")</f>
        <v>Specify wastewater sources</v>
      </c>
      <c r="F10" s="40"/>
      <c r="H10" s="3"/>
      <c r="I10" s="3" t="s">
        <v>175</v>
      </c>
      <c r="J10" s="4" t="s">
        <v>106</v>
      </c>
      <c r="K10" s="2" t="s">
        <v>102</v>
      </c>
      <c r="L10" s="2"/>
      <c r="M10" s="2"/>
      <c r="N10" s="4" t="s">
        <v>36</v>
      </c>
      <c r="O10" s="2"/>
    </row>
    <row r="11" spans="2:15" ht="45" customHeight="1" x14ac:dyDescent="0.25">
      <c r="B11" s="224" t="s">
        <v>109</v>
      </c>
      <c r="C11" s="36" t="s">
        <v>115</v>
      </c>
      <c r="D11" s="33"/>
      <c r="E11" s="33"/>
      <c r="F11" s="34"/>
      <c r="H11" s="3"/>
      <c r="I11" s="3" t="s">
        <v>176</v>
      </c>
      <c r="J11" s="4" t="s">
        <v>190</v>
      </c>
      <c r="K11" s="2" t="s">
        <v>191</v>
      </c>
      <c r="L11" s="2"/>
      <c r="M11" s="2"/>
      <c r="N11" s="4"/>
      <c r="O11" s="2"/>
    </row>
    <row r="12" spans="2:15" ht="15" customHeight="1" x14ac:dyDescent="0.25">
      <c r="B12" s="225"/>
      <c r="C12" s="27" t="s">
        <v>161</v>
      </c>
      <c r="D12" s="28"/>
      <c r="E12" s="28"/>
      <c r="F12" s="1"/>
      <c r="H12" s="3"/>
      <c r="I12" s="3" t="s">
        <v>177</v>
      </c>
      <c r="J12" s="4" t="s">
        <v>266</v>
      </c>
      <c r="K12" s="2" t="s">
        <v>192</v>
      </c>
      <c r="L12" s="2"/>
      <c r="M12" s="2"/>
      <c r="N12" s="4"/>
      <c r="O12" s="2"/>
    </row>
    <row r="13" spans="2:15" ht="15" customHeight="1" x14ac:dyDescent="0.25">
      <c r="B13" s="225"/>
      <c r="C13" s="27" t="s">
        <v>121</v>
      </c>
      <c r="D13" s="28"/>
      <c r="E13" s="28"/>
      <c r="F13" s="1"/>
      <c r="H13" s="3"/>
      <c r="I13" s="2" t="s">
        <v>189</v>
      </c>
      <c r="J13" s="4"/>
      <c r="K13" s="2" t="s">
        <v>193</v>
      </c>
      <c r="L13" s="2"/>
      <c r="M13" s="2"/>
      <c r="N13" s="4"/>
      <c r="O13" s="2"/>
    </row>
    <row r="14" spans="2:15" ht="15" customHeight="1" thickBot="1" x14ac:dyDescent="0.3">
      <c r="B14" s="226"/>
      <c r="C14" s="35" t="str">
        <f>IF(D9="Municipal","-","Floating substances (FOG), mg/l")</f>
        <v>Floating substances (FOG), mg/l</v>
      </c>
      <c r="D14" s="47"/>
      <c r="E14" s="47"/>
      <c r="F14" s="48"/>
      <c r="J14" s="4"/>
      <c r="K14" s="2"/>
      <c r="L14" s="2"/>
      <c r="M14" s="2"/>
      <c r="N14" s="4"/>
      <c r="O14" s="2"/>
    </row>
    <row r="15" spans="2:15" ht="15" customHeight="1" x14ac:dyDescent="0.25">
      <c r="B15" s="224" t="s">
        <v>207</v>
      </c>
      <c r="C15" s="42" t="s">
        <v>112</v>
      </c>
      <c r="D15" s="228"/>
      <c r="E15" s="229"/>
      <c r="F15" s="230"/>
      <c r="J15" s="4"/>
      <c r="K15" s="2"/>
      <c r="L15" s="2"/>
      <c r="M15" s="2"/>
      <c r="N15" s="4"/>
      <c r="O15" s="2"/>
    </row>
    <row r="16" spans="2:15" ht="15" customHeight="1" thickBot="1" x14ac:dyDescent="0.3">
      <c r="B16" s="225"/>
      <c r="C16" s="43" t="s">
        <v>113</v>
      </c>
      <c r="D16" s="231"/>
      <c r="E16" s="232"/>
      <c r="F16" s="233"/>
      <c r="J16" s="4"/>
      <c r="K16" s="2"/>
      <c r="L16" s="2"/>
      <c r="M16" s="2"/>
      <c r="N16" s="4"/>
      <c r="O16" s="2"/>
    </row>
    <row r="17" spans="2:18" ht="15" customHeight="1" thickBot="1" x14ac:dyDescent="0.3">
      <c r="B17" s="227"/>
      <c r="C17" s="43" t="s">
        <v>206</v>
      </c>
      <c r="D17" s="231"/>
      <c r="E17" s="232"/>
      <c r="F17" s="233"/>
      <c r="J17" s="8" t="s">
        <v>105</v>
      </c>
      <c r="K17" s="8"/>
      <c r="L17" s="8" t="s">
        <v>68</v>
      </c>
      <c r="M17" s="2"/>
      <c r="N17" s="8" t="s">
        <v>37</v>
      </c>
      <c r="O17" s="8" t="s">
        <v>2</v>
      </c>
      <c r="Q17" s="9" t="s">
        <v>73</v>
      </c>
      <c r="R17" s="10" t="s">
        <v>74</v>
      </c>
    </row>
    <row r="18" spans="2:18" ht="15" customHeight="1" thickBot="1" x14ac:dyDescent="0.3">
      <c r="B18" s="234" t="str">
        <f>IF(D21="By pressure", "Flow rate (to all screens), l/s", "Flow rate (to all screens), l/s")</f>
        <v>Flow rate (to all screens), l/s</v>
      </c>
      <c r="C18" s="44" t="s">
        <v>269</v>
      </c>
      <c r="D18" s="51"/>
      <c r="E18" s="237" t="str">
        <f>IF(AND(D21="By gravity",D22="In channel"),"Downstream water level for correspoding flow rate, mm", "-")</f>
        <v>-</v>
      </c>
      <c r="F18" s="102" t="str">
        <f>IF(D21="By pressure", "(Note: by pumping station capacity!!!)", " ")</f>
        <v xml:space="preserve"> </v>
      </c>
      <c r="J18" s="8" t="s">
        <v>106</v>
      </c>
      <c r="K18" s="11"/>
      <c r="L18" s="11"/>
      <c r="M18" s="2"/>
      <c r="N18" s="8"/>
      <c r="O18" s="8" t="s">
        <v>38</v>
      </c>
      <c r="Q18" s="12"/>
      <c r="R18" s="12" t="s">
        <v>89</v>
      </c>
    </row>
    <row r="19" spans="2:18" ht="15" customHeight="1" thickBot="1" x14ac:dyDescent="0.3">
      <c r="B19" s="235"/>
      <c r="C19" s="46" t="s">
        <v>95</v>
      </c>
      <c r="D19" s="51"/>
      <c r="E19" s="238"/>
      <c r="F19" s="102"/>
      <c r="H19" s="2" t="s">
        <v>188</v>
      </c>
      <c r="J19" s="8"/>
      <c r="K19" s="8"/>
      <c r="L19" s="8"/>
      <c r="M19" s="2"/>
      <c r="N19" s="8"/>
      <c r="O19" s="8" t="s">
        <v>3</v>
      </c>
      <c r="Q19" s="10" t="s">
        <v>79</v>
      </c>
      <c r="R19" s="10" t="s">
        <v>68</v>
      </c>
    </row>
    <row r="20" spans="2:18" ht="24" customHeight="1" thickBot="1" x14ac:dyDescent="0.25">
      <c r="B20" s="236"/>
      <c r="C20" s="45" t="s">
        <v>256</v>
      </c>
      <c r="D20" s="73"/>
      <c r="E20" s="239"/>
      <c r="F20" s="72"/>
      <c r="J20" s="8"/>
      <c r="K20" s="8"/>
      <c r="L20" s="8"/>
      <c r="M20" s="2"/>
      <c r="N20" s="8"/>
      <c r="O20" s="8"/>
      <c r="Q20" s="13" t="s">
        <v>80</v>
      </c>
      <c r="R20" s="13" t="s">
        <v>82</v>
      </c>
    </row>
    <row r="21" spans="2:18" ht="15" customHeight="1" thickBot="1" x14ac:dyDescent="0.3">
      <c r="B21" s="240" t="s">
        <v>97</v>
      </c>
      <c r="C21" s="241"/>
      <c r="D21" s="49">
        <f>Screens!D20</f>
        <v>0</v>
      </c>
      <c r="E21" s="242" t="str">
        <f>IF(D21="By pressure","Note: excess pressure shall not exceed 1 m H2O", "-")</f>
        <v>-</v>
      </c>
      <c r="F21" s="243"/>
      <c r="J21" s="8"/>
      <c r="K21" s="8"/>
      <c r="L21" s="8"/>
      <c r="M21" s="2"/>
      <c r="N21" s="8"/>
      <c r="O21" s="8"/>
      <c r="Q21" s="14"/>
      <c r="R21" s="14"/>
    </row>
    <row r="22" spans="2:18" ht="15" customHeight="1" thickBot="1" x14ac:dyDescent="0.25">
      <c r="B22" s="249" t="s">
        <v>198</v>
      </c>
      <c r="C22" s="250"/>
      <c r="D22" s="49">
        <f>Screens!D21</f>
        <v>0</v>
      </c>
      <c r="E22" s="251" t="str">
        <f>IF(AND(D22="In channel",OR(C2="Rotary drum screen RDS", C2="Brush drum screen RMB Sh",C2="Drum screen with triangle profile RMB TP")),"This type of screen can not be installed in the channel!","-")</f>
        <v>-</v>
      </c>
      <c r="F22" s="252"/>
      <c r="J22" s="8"/>
      <c r="K22" s="8"/>
      <c r="L22" s="8"/>
      <c r="M22" s="2"/>
      <c r="N22" s="8"/>
      <c r="O22" s="8"/>
      <c r="Q22" s="14"/>
      <c r="R22" s="14"/>
    </row>
    <row r="23" spans="2:18" ht="15" customHeight="1" thickBot="1" x14ac:dyDescent="0.25">
      <c r="B23" s="244" t="s">
        <v>122</v>
      </c>
      <c r="C23" s="245"/>
      <c r="D23" s="246"/>
      <c r="E23" s="247"/>
      <c r="F23" s="248"/>
      <c r="J23" s="8" t="s">
        <v>0</v>
      </c>
      <c r="K23" s="8" t="s">
        <v>99</v>
      </c>
      <c r="L23" s="8" t="s">
        <v>115</v>
      </c>
      <c r="M23" s="2"/>
      <c r="N23" s="8"/>
      <c r="O23" s="8"/>
      <c r="Q23" s="12" t="s">
        <v>81</v>
      </c>
      <c r="R23" s="12" t="s">
        <v>83</v>
      </c>
    </row>
    <row r="24" spans="2:18" ht="15" customHeight="1" thickBot="1" x14ac:dyDescent="0.25">
      <c r="B24" s="253" t="s">
        <v>199</v>
      </c>
      <c r="C24" s="254"/>
      <c r="D24" s="255">
        <f>Screens!D23</f>
        <v>0</v>
      </c>
      <c r="E24" s="256"/>
      <c r="F24" s="257"/>
      <c r="J24" s="8"/>
      <c r="K24" s="11" t="s">
        <v>100</v>
      </c>
      <c r="L24" s="11" t="s">
        <v>108</v>
      </c>
      <c r="M24" s="2"/>
      <c r="N24" s="8"/>
      <c r="O24" s="8" t="s">
        <v>39</v>
      </c>
      <c r="Q24" s="10" t="s">
        <v>76</v>
      </c>
      <c r="R24" s="10" t="s">
        <v>77</v>
      </c>
    </row>
    <row r="25" spans="2:18" ht="15" customHeight="1" thickBot="1" x14ac:dyDescent="0.25">
      <c r="B25" s="253" t="str">
        <f>IF(D22="In channel","Discharge height from the channel bottom, mm","-")</f>
        <v>-</v>
      </c>
      <c r="C25" s="254"/>
      <c r="D25" s="258"/>
      <c r="E25" s="259"/>
      <c r="F25" s="260"/>
      <c r="J25" s="8"/>
      <c r="K25" s="11"/>
      <c r="L25" s="11"/>
      <c r="M25" s="2"/>
      <c r="N25" s="8"/>
      <c r="O25" s="8"/>
      <c r="Q25" s="15"/>
      <c r="R25" s="15"/>
    </row>
    <row r="26" spans="2:18" ht="15" customHeight="1" thickBot="1" x14ac:dyDescent="0.25">
      <c r="B26" s="262" t="str">
        <f>IF(D22="In channel","Discharge height from the top of the channel, mm","Discharge height from the floor, mm")</f>
        <v>Discharge height from the floor, mm</v>
      </c>
      <c r="C26" s="263"/>
      <c r="D26" s="76"/>
      <c r="E26" s="74"/>
      <c r="F26" s="75"/>
      <c r="J26" s="8"/>
      <c r="K26" s="11"/>
      <c r="L26" s="11"/>
      <c r="M26" s="2"/>
      <c r="N26" s="8"/>
      <c r="O26" s="8"/>
      <c r="Q26" s="15"/>
      <c r="R26" s="15"/>
    </row>
    <row r="27" spans="2:18" ht="15" customHeight="1" thickBot="1" x14ac:dyDescent="0.3">
      <c r="B27" s="253" t="str">
        <f>IF(D22="In channel", "Channel height, mm", "Pipe diameter, mm")</f>
        <v>Pipe diameter, mm</v>
      </c>
      <c r="C27" s="261"/>
      <c r="D27" s="258"/>
      <c r="E27" s="232"/>
      <c r="F27" s="233"/>
      <c r="J27" s="8"/>
      <c r="K27" s="8" t="s">
        <v>99</v>
      </c>
      <c r="L27" s="11" t="s">
        <v>109</v>
      </c>
      <c r="M27" s="2"/>
      <c r="N27" s="8" t="s">
        <v>40</v>
      </c>
      <c r="O27" s="8" t="s">
        <v>2</v>
      </c>
      <c r="Q27" s="12"/>
      <c r="R27" s="12" t="s">
        <v>78</v>
      </c>
    </row>
    <row r="28" spans="2:18" ht="15" customHeight="1" thickBot="1" x14ac:dyDescent="0.3">
      <c r="B28" s="253" t="str">
        <f>IF(D22="In channel", "Channel width, mm", "-")</f>
        <v>-</v>
      </c>
      <c r="C28" s="261"/>
      <c r="D28" s="63"/>
      <c r="E28" s="66"/>
      <c r="F28" s="67"/>
      <c r="J28" s="8"/>
      <c r="K28" s="11" t="s">
        <v>100</v>
      </c>
      <c r="L28" s="11" t="s">
        <v>109</v>
      </c>
      <c r="M28" s="2"/>
      <c r="N28" s="8"/>
      <c r="O28" s="8" t="s">
        <v>41</v>
      </c>
      <c r="Q28" s="10" t="s">
        <v>79</v>
      </c>
      <c r="R28" s="10" t="s">
        <v>75</v>
      </c>
    </row>
    <row r="29" spans="2:18" ht="15" customHeight="1" thickBot="1" x14ac:dyDescent="0.3">
      <c r="B29" s="262" t="s">
        <v>208</v>
      </c>
      <c r="C29" s="263"/>
      <c r="D29" s="63"/>
      <c r="E29" s="66"/>
      <c r="F29" s="67"/>
      <c r="J29" s="8" t="s">
        <v>1</v>
      </c>
      <c r="K29" s="8" t="s">
        <v>102</v>
      </c>
      <c r="L29" s="8" t="s">
        <v>68</v>
      </c>
      <c r="M29" s="2"/>
      <c r="N29" s="8"/>
      <c r="O29" s="8" t="s">
        <v>42</v>
      </c>
      <c r="Q29" s="13" t="s">
        <v>80</v>
      </c>
      <c r="R29" s="13" t="s">
        <v>68</v>
      </c>
    </row>
    <row r="30" spans="2:18" ht="15" customHeight="1" thickBot="1" x14ac:dyDescent="0.3">
      <c r="B30" s="269" t="s">
        <v>200</v>
      </c>
      <c r="C30" s="270"/>
      <c r="D30" s="80">
        <f>Screens!D29</f>
        <v>0</v>
      </c>
      <c r="E30" s="81"/>
      <c r="F30" s="82"/>
      <c r="J30" s="8"/>
      <c r="K30" s="8" t="s">
        <v>101</v>
      </c>
      <c r="L30" s="8" t="s">
        <v>92</v>
      </c>
      <c r="M30" s="2"/>
      <c r="N30" s="8"/>
      <c r="O30" s="8"/>
      <c r="Q30" s="14"/>
      <c r="R30" s="14"/>
    </row>
    <row r="31" spans="2:18" ht="45.75" customHeight="1" thickBot="1" x14ac:dyDescent="0.3">
      <c r="B31" s="271" t="s">
        <v>114</v>
      </c>
      <c r="C31" s="272"/>
      <c r="D31" s="273"/>
      <c r="E31" s="273"/>
      <c r="F31" s="221"/>
      <c r="J31" s="8"/>
      <c r="K31" s="8" t="s">
        <v>102</v>
      </c>
      <c r="L31" s="8" t="s">
        <v>68</v>
      </c>
      <c r="M31" s="2"/>
      <c r="N31" s="8"/>
      <c r="O31" s="8" t="s">
        <v>39</v>
      </c>
      <c r="Q31" s="12" t="s">
        <v>81</v>
      </c>
      <c r="R31" s="12" t="s">
        <v>75</v>
      </c>
    </row>
    <row r="32" spans="2:18" ht="15" customHeight="1" thickBot="1" x14ac:dyDescent="0.3">
      <c r="B32" s="274" t="s">
        <v>98</v>
      </c>
      <c r="C32" s="275"/>
      <c r="D32" s="276"/>
      <c r="E32" s="277"/>
      <c r="F32" s="278"/>
      <c r="J32" s="8"/>
      <c r="K32" s="8" t="s">
        <v>101</v>
      </c>
      <c r="L32" s="8" t="s">
        <v>93</v>
      </c>
      <c r="M32" s="2"/>
      <c r="N32" s="8" t="s">
        <v>43</v>
      </c>
      <c r="O32" s="8" t="s">
        <v>44</v>
      </c>
      <c r="Q32" s="10" t="s">
        <v>79</v>
      </c>
      <c r="R32" s="10" t="s">
        <v>68</v>
      </c>
    </row>
    <row r="33" spans="2:18" ht="26.25" customHeight="1" thickBot="1" x14ac:dyDescent="0.3">
      <c r="B33" s="234" t="s">
        <v>209</v>
      </c>
      <c r="C33" s="7" t="s">
        <v>123</v>
      </c>
      <c r="D33" s="279"/>
      <c r="E33" s="280"/>
      <c r="F33" s="243"/>
      <c r="J33" s="8"/>
      <c r="K33" s="8"/>
      <c r="L33" s="8"/>
      <c r="M33" s="2"/>
      <c r="N33" s="8"/>
      <c r="O33" s="8"/>
      <c r="Q33" s="29"/>
      <c r="R33" s="29"/>
    </row>
    <row r="34" spans="2:18" ht="43.5" customHeight="1" thickBot="1" x14ac:dyDescent="0.3">
      <c r="B34" s="235"/>
      <c r="C34" s="32" t="s">
        <v>210</v>
      </c>
      <c r="D34" s="281"/>
      <c r="E34" s="282"/>
      <c r="F34" s="283"/>
      <c r="J34" s="8"/>
      <c r="K34" s="8"/>
      <c r="L34" s="8"/>
      <c r="M34" s="2"/>
      <c r="N34" s="8"/>
      <c r="O34" s="8"/>
      <c r="Q34" s="29"/>
      <c r="R34" s="29"/>
    </row>
    <row r="35" spans="2:18" ht="15" customHeight="1" thickBot="1" x14ac:dyDescent="0.25">
      <c r="B35" s="284" t="s">
        <v>274</v>
      </c>
      <c r="C35" s="285"/>
      <c r="D35" s="285"/>
      <c r="E35" s="285"/>
      <c r="F35" s="286"/>
      <c r="J35" s="8"/>
      <c r="K35" s="8"/>
      <c r="L35" s="8"/>
      <c r="M35" s="2"/>
      <c r="N35" s="8"/>
      <c r="O35" s="8"/>
      <c r="Q35" s="29"/>
      <c r="R35" s="29"/>
    </row>
    <row r="36" spans="2:18" ht="29.25" customHeight="1" thickBot="1" x14ac:dyDescent="0.3">
      <c r="B36" s="287" t="s">
        <v>91</v>
      </c>
      <c r="C36" s="288"/>
      <c r="D36" s="30">
        <f>Screens!D35</f>
        <v>0</v>
      </c>
      <c r="E36" s="31" t="str">
        <f>IF(D36="Outdoor","Minimum ambient temperature, ºC ***","-")</f>
        <v>-</v>
      </c>
      <c r="F36" s="62"/>
      <c r="G36" s="79"/>
      <c r="I36" s="2" t="s">
        <v>268</v>
      </c>
      <c r="J36" s="8"/>
      <c r="K36" s="8"/>
      <c r="L36" s="8"/>
      <c r="M36" s="2"/>
      <c r="N36" s="8" t="s">
        <v>45</v>
      </c>
      <c r="O36" s="8" t="s">
        <v>46</v>
      </c>
      <c r="Q36" s="12" t="s">
        <v>81</v>
      </c>
      <c r="R36" s="12" t="s">
        <v>63</v>
      </c>
    </row>
    <row r="37" spans="2:18" ht="16.5" customHeight="1" thickBot="1" x14ac:dyDescent="0.25">
      <c r="B37" s="264" t="str">
        <f>IF(D36="Indoor", "Dimensions of building (L*W*H), m", "-")</f>
        <v>-</v>
      </c>
      <c r="C37" s="265"/>
      <c r="D37" s="266"/>
      <c r="E37" s="267"/>
      <c r="F37" s="268"/>
      <c r="J37" s="8"/>
      <c r="K37" s="8"/>
      <c r="L37" s="8"/>
      <c r="M37" s="2"/>
      <c r="N37" s="8" t="s">
        <v>47</v>
      </c>
      <c r="O37" s="8"/>
      <c r="Q37" s="10" t="s">
        <v>79</v>
      </c>
      <c r="R37" s="10" t="s">
        <v>68</v>
      </c>
    </row>
    <row r="38" spans="2:18" s="2" customFormat="1" ht="15" customHeight="1" thickBot="1" x14ac:dyDescent="0.25">
      <c r="B38" s="289" t="s">
        <v>107</v>
      </c>
      <c r="C38" s="290"/>
      <c r="D38" s="291"/>
      <c r="E38" s="292"/>
      <c r="F38" s="293"/>
      <c r="J38" s="8"/>
      <c r="K38" s="8"/>
      <c r="L38" s="8"/>
      <c r="N38" s="8" t="s">
        <v>71</v>
      </c>
      <c r="O38" s="8"/>
      <c r="Q38" s="18" t="s">
        <v>80</v>
      </c>
      <c r="R38" s="18" t="s">
        <v>64</v>
      </c>
    </row>
    <row r="39" spans="2:18" s="2" customFormat="1" ht="20.25" customHeight="1" thickBot="1" x14ac:dyDescent="0.25">
      <c r="B39" s="220"/>
      <c r="C39" s="221"/>
      <c r="D39" s="294"/>
      <c r="E39" s="295"/>
      <c r="F39" s="296"/>
      <c r="J39" s="8"/>
      <c r="K39" s="8"/>
      <c r="L39" s="8"/>
      <c r="N39" s="8" t="s">
        <v>48</v>
      </c>
      <c r="O39" s="8"/>
      <c r="Q39" s="19" t="s">
        <v>81</v>
      </c>
      <c r="R39" s="19" t="s">
        <v>64</v>
      </c>
    </row>
    <row r="40" spans="2:18" ht="15" customHeight="1" thickBot="1" x14ac:dyDescent="0.4">
      <c r="B40" s="98" t="str">
        <f>IF(C2="Screw screen RVO","* Standard version - perforated plate basket, wedge wire basket available upon request.","* Type of the filtering zone - see the description of the screen.")</f>
        <v>* Type of the filtering zone - see the description of the screen.</v>
      </c>
      <c r="C40" s="17"/>
      <c r="D40" s="16"/>
      <c r="E40" s="17"/>
      <c r="F40" s="17"/>
      <c r="J40" s="11" t="s">
        <v>4</v>
      </c>
      <c r="K40" s="8" t="s">
        <v>86</v>
      </c>
      <c r="L40" s="8"/>
      <c r="M40" s="2"/>
      <c r="N40" s="8" t="s">
        <v>33</v>
      </c>
      <c r="O40" s="8"/>
      <c r="Q40" s="10" t="s">
        <v>79</v>
      </c>
      <c r="R40" s="10" t="s">
        <v>68</v>
      </c>
    </row>
    <row r="41" spans="2:18" ht="15" customHeight="1" thickBot="1" x14ac:dyDescent="0.3">
      <c r="B41" s="3" t="str">
        <f>IF(OR(C2="Screw screen RVO", C2="Screw drum screen with rotating rake RVO B1",C2="Screw drum screen with rotating drum RVO B2"),"** Standard version - screws made of wear-resistant carbon steel.","** See the description of the screen.")</f>
        <v>** See the description of the screen.</v>
      </c>
      <c r="C41" s="17"/>
      <c r="D41" s="16"/>
      <c r="E41" s="17"/>
      <c r="F41" s="17"/>
      <c r="J41" s="11"/>
      <c r="K41" s="8" t="s">
        <v>5</v>
      </c>
      <c r="L41" s="8"/>
      <c r="M41" s="2"/>
      <c r="N41" s="8" t="s">
        <v>34</v>
      </c>
      <c r="O41" s="8"/>
      <c r="Q41" s="13" t="s">
        <v>80</v>
      </c>
      <c r="R41" s="13" t="s">
        <v>57</v>
      </c>
    </row>
    <row r="42" spans="2:18" ht="15" customHeight="1" thickBot="1" x14ac:dyDescent="0.3">
      <c r="B42" s="100" t="str">
        <f>IF(AND(D36="Outdoor",OR(C2="Rotary drum screen RDS", C2="Brush drum screen RMB Sh",C2="Drum screen with triangle profile RMB TP",C2="Rake bar screen RKE",C2="Rake bar screen RMKE")),"*** Standard version of this type of screen is not suitable for outdoor installation at temperature below + 5 ºC. For further information please contact EKOTON.","-")</f>
        <v>-</v>
      </c>
      <c r="C42" s="20"/>
      <c r="D42" s="38"/>
      <c r="E42" s="20"/>
      <c r="F42" s="20"/>
      <c r="J42" s="11"/>
      <c r="K42" s="8" t="s">
        <v>6</v>
      </c>
      <c r="L42" s="8" t="s">
        <v>68</v>
      </c>
      <c r="M42" s="2"/>
      <c r="N42" s="8" t="s">
        <v>49</v>
      </c>
      <c r="O42" s="8"/>
      <c r="Q42" s="12" t="s">
        <v>81</v>
      </c>
      <c r="R42" s="12" t="s">
        <v>57</v>
      </c>
    </row>
    <row r="43" spans="2:18" ht="15" customHeight="1" thickBot="1" x14ac:dyDescent="0.4">
      <c r="B43" s="38" t="s">
        <v>277</v>
      </c>
      <c r="C43" s="20"/>
      <c r="D43" s="38"/>
      <c r="E43" s="20"/>
      <c r="F43" s="20"/>
      <c r="J43" s="11" t="s">
        <v>7</v>
      </c>
      <c r="K43" s="8" t="s">
        <v>104</v>
      </c>
      <c r="L43" s="8" t="s">
        <v>116</v>
      </c>
      <c r="M43" s="2"/>
      <c r="N43" s="8" t="s">
        <v>50</v>
      </c>
      <c r="O43" s="8" t="s">
        <v>51</v>
      </c>
      <c r="Q43" s="10" t="s">
        <v>79</v>
      </c>
      <c r="R43" s="10" t="s">
        <v>68</v>
      </c>
    </row>
    <row r="44" spans="2:18" ht="15" customHeight="1" thickBot="1" x14ac:dyDescent="0.3">
      <c r="B44" s="21"/>
      <c r="C44" s="20"/>
      <c r="D44" s="38"/>
      <c r="F44" s="20"/>
      <c r="J44" s="11"/>
      <c r="K44" s="8" t="s">
        <v>103</v>
      </c>
      <c r="L44" s="8" t="s">
        <v>68</v>
      </c>
      <c r="M44" s="2"/>
      <c r="N44" s="8"/>
      <c r="O44" s="8" t="s">
        <v>52</v>
      </c>
      <c r="Q44" s="13" t="s">
        <v>80</v>
      </c>
      <c r="R44" s="13" t="s">
        <v>65</v>
      </c>
    </row>
    <row r="45" spans="2:18" ht="15" customHeight="1" thickBot="1" x14ac:dyDescent="0.3">
      <c r="B45" s="38"/>
      <c r="C45" s="20"/>
      <c r="D45" s="20"/>
      <c r="E45" s="20"/>
      <c r="F45" s="20"/>
      <c r="J45" s="11" t="s">
        <v>32</v>
      </c>
      <c r="K45" s="8" t="s">
        <v>105</v>
      </c>
      <c r="L45" s="8"/>
      <c r="M45" s="2"/>
      <c r="N45" s="8"/>
      <c r="O45" s="8" t="s">
        <v>69</v>
      </c>
      <c r="Q45" s="12" t="s">
        <v>81</v>
      </c>
      <c r="R45" s="12" t="s">
        <v>65</v>
      </c>
    </row>
    <row r="46" spans="2:18" ht="15" customHeight="1" thickBot="1" x14ac:dyDescent="0.3">
      <c r="B46" s="37"/>
      <c r="C46" s="20"/>
      <c r="D46" s="22"/>
      <c r="E46" s="20"/>
      <c r="F46" s="20"/>
      <c r="J46" s="8"/>
      <c r="K46" s="8" t="s">
        <v>106</v>
      </c>
      <c r="L46" s="8"/>
      <c r="M46" s="2"/>
      <c r="N46" s="8" t="s">
        <v>32</v>
      </c>
      <c r="O46" s="8" t="s">
        <v>62</v>
      </c>
      <c r="Q46" s="10" t="s">
        <v>79</v>
      </c>
      <c r="R46" s="10" t="s">
        <v>68</v>
      </c>
    </row>
    <row r="47" spans="2:18" ht="15" customHeight="1" thickBot="1" x14ac:dyDescent="0.3">
      <c r="B47" s="37"/>
      <c r="C47" s="20"/>
      <c r="D47" s="38"/>
      <c r="E47" s="20"/>
      <c r="F47" s="20"/>
      <c r="J47" s="8" t="s">
        <v>8</v>
      </c>
      <c r="K47" s="8"/>
      <c r="L47" s="8"/>
      <c r="M47" s="2"/>
      <c r="N47" s="8"/>
      <c r="O47" s="8" t="s">
        <v>23</v>
      </c>
      <c r="Q47" s="13" t="s">
        <v>80</v>
      </c>
      <c r="R47" s="13" t="s">
        <v>70</v>
      </c>
    </row>
    <row r="48" spans="2:18" ht="15" customHeight="1" thickBot="1" x14ac:dyDescent="0.3">
      <c r="B48" s="37"/>
      <c r="C48" s="20"/>
      <c r="D48" s="38"/>
      <c r="F48" s="23"/>
      <c r="J48" s="8" t="s">
        <v>72</v>
      </c>
      <c r="K48" s="8"/>
      <c r="L48" s="8"/>
      <c r="M48" s="2"/>
      <c r="N48" s="24" t="s">
        <v>53</v>
      </c>
      <c r="O48" s="24"/>
      <c r="Q48" s="12" t="s">
        <v>81</v>
      </c>
      <c r="R48" s="12" t="s">
        <v>70</v>
      </c>
    </row>
    <row r="49" spans="2:18" ht="15" customHeight="1" thickBot="1" x14ac:dyDescent="0.3">
      <c r="B49" s="20"/>
      <c r="C49" s="20"/>
      <c r="D49" s="20"/>
      <c r="F49" s="23"/>
      <c r="J49" s="11" t="s">
        <v>9</v>
      </c>
      <c r="K49" s="8" t="s">
        <v>10</v>
      </c>
      <c r="L49" s="8"/>
      <c r="M49" s="2"/>
      <c r="N49" s="8" t="s">
        <v>20</v>
      </c>
      <c r="O49" s="8" t="s">
        <v>22</v>
      </c>
      <c r="Q49" s="10" t="s">
        <v>79</v>
      </c>
      <c r="R49" s="10" t="s">
        <v>68</v>
      </c>
    </row>
    <row r="50" spans="2:18" ht="15" customHeight="1" thickBot="1" x14ac:dyDescent="0.3">
      <c r="B50" s="37"/>
      <c r="C50" s="20"/>
      <c r="D50" s="20"/>
      <c r="E50" s="20"/>
      <c r="F50" s="20"/>
      <c r="J50" s="11"/>
      <c r="K50" s="8" t="s">
        <v>11</v>
      </c>
      <c r="L50" s="8"/>
      <c r="M50" s="2"/>
      <c r="N50" s="8"/>
      <c r="O50" s="8" t="s">
        <v>23</v>
      </c>
      <c r="Q50" s="13" t="s">
        <v>80</v>
      </c>
      <c r="R50" s="13" t="s">
        <v>30</v>
      </c>
    </row>
    <row r="51" spans="2:18" ht="15" customHeight="1" thickBot="1" x14ac:dyDescent="0.3">
      <c r="B51" s="37"/>
      <c r="C51" s="20"/>
      <c r="D51" s="38"/>
      <c r="E51" s="20"/>
      <c r="F51" s="20"/>
      <c r="J51" s="11"/>
      <c r="K51" s="8" t="s">
        <v>12</v>
      </c>
      <c r="L51" s="8"/>
      <c r="M51" s="2"/>
      <c r="N51" s="8" t="s">
        <v>54</v>
      </c>
      <c r="O51" s="8"/>
      <c r="Q51" s="12" t="s">
        <v>81</v>
      </c>
      <c r="R51" s="12" t="s">
        <v>30</v>
      </c>
    </row>
    <row r="52" spans="2:18" ht="15" customHeight="1" thickBot="1" x14ac:dyDescent="0.3">
      <c r="B52" s="20"/>
      <c r="C52" s="20"/>
      <c r="D52" s="20"/>
      <c r="E52" s="20"/>
      <c r="F52" s="20"/>
      <c r="J52" s="11" t="s">
        <v>35</v>
      </c>
      <c r="K52" s="8" t="s">
        <v>66</v>
      </c>
      <c r="L52" s="8"/>
      <c r="M52" s="2"/>
      <c r="N52" s="24" t="s">
        <v>25</v>
      </c>
      <c r="O52" s="8"/>
    </row>
    <row r="53" spans="2:18" ht="15" customHeight="1" thickBot="1" x14ac:dyDescent="0.25">
      <c r="J53" s="11"/>
      <c r="K53" s="8" t="s">
        <v>67</v>
      </c>
      <c r="L53" s="8"/>
      <c r="M53" s="2"/>
      <c r="N53" s="8" t="s">
        <v>55</v>
      </c>
      <c r="O53" s="8"/>
    </row>
    <row r="54" spans="2:18" ht="15" customHeight="1" thickBot="1" x14ac:dyDescent="0.25">
      <c r="J54" s="11"/>
      <c r="K54" s="8"/>
      <c r="L54" s="8"/>
      <c r="M54" s="2"/>
      <c r="N54" s="8" t="s">
        <v>56</v>
      </c>
      <c r="O54" s="8"/>
    </row>
    <row r="55" spans="2:18" ht="15" customHeight="1" thickBot="1" x14ac:dyDescent="0.25">
      <c r="J55" s="11"/>
      <c r="K55" s="8"/>
      <c r="L55" s="8"/>
      <c r="M55" s="2"/>
      <c r="N55" s="8" t="s">
        <v>57</v>
      </c>
      <c r="O55" s="8" t="s">
        <v>58</v>
      </c>
    </row>
    <row r="56" spans="2:18" ht="15" customHeight="1" thickBot="1" x14ac:dyDescent="0.25">
      <c r="J56" s="8" t="s">
        <v>13</v>
      </c>
      <c r="K56" s="8" t="s">
        <v>14</v>
      </c>
      <c r="L56" s="8"/>
      <c r="M56" s="2"/>
      <c r="N56" s="8"/>
      <c r="O56" s="8" t="s">
        <v>59</v>
      </c>
    </row>
    <row r="57" spans="2:18" ht="15" customHeight="1" thickBot="1" x14ac:dyDescent="0.25">
      <c r="J57" s="8"/>
      <c r="K57" s="8" t="s">
        <v>15</v>
      </c>
      <c r="L57" s="8"/>
      <c r="M57" s="2"/>
      <c r="N57" s="8" t="s">
        <v>60</v>
      </c>
      <c r="O57" s="8"/>
    </row>
    <row r="58" spans="2:18" ht="15" thickBot="1" x14ac:dyDescent="0.25">
      <c r="B58" s="37"/>
      <c r="D58" s="38"/>
      <c r="J58" s="8"/>
      <c r="K58" s="8" t="s">
        <v>16</v>
      </c>
      <c r="L58" s="8"/>
      <c r="M58" s="2"/>
      <c r="N58" s="8" t="s">
        <v>61</v>
      </c>
      <c r="O58" s="8"/>
    </row>
    <row r="59" spans="2:18" ht="15" thickBot="1" x14ac:dyDescent="0.25">
      <c r="J59" s="8"/>
      <c r="K59" s="8" t="s">
        <v>17</v>
      </c>
      <c r="L59" s="8"/>
      <c r="M59" s="2"/>
      <c r="N59" s="8" t="s">
        <v>30</v>
      </c>
      <c r="O59" s="8" t="s">
        <v>22</v>
      </c>
    </row>
    <row r="60" spans="2:18" ht="15" thickBot="1" x14ac:dyDescent="0.25">
      <c r="D60" s="145"/>
      <c r="E60" s="145"/>
      <c r="F60" s="38"/>
      <c r="J60" s="8"/>
      <c r="K60" s="8" t="s">
        <v>110</v>
      </c>
      <c r="L60" s="8"/>
      <c r="M60" s="2"/>
      <c r="N60" s="8"/>
      <c r="O60" s="8"/>
    </row>
    <row r="61" spans="2:18" ht="15" customHeight="1" thickBot="1" x14ac:dyDescent="0.25">
      <c r="D61" s="145"/>
      <c r="E61" s="145"/>
      <c r="F61" s="37"/>
      <c r="J61" s="8"/>
      <c r="K61" s="8"/>
      <c r="L61" s="8"/>
      <c r="M61" s="2"/>
      <c r="N61" s="8"/>
      <c r="O61" s="8"/>
    </row>
    <row r="62" spans="2:18" ht="15" thickBot="1" x14ac:dyDescent="0.25">
      <c r="F62" s="37"/>
      <c r="J62" s="8"/>
      <c r="K62" s="8"/>
      <c r="L62" s="8"/>
      <c r="M62" s="2"/>
      <c r="N62" s="8"/>
      <c r="O62" s="8"/>
    </row>
    <row r="63" spans="2:18" ht="15" customHeight="1" thickBot="1" x14ac:dyDescent="0.25">
      <c r="D63" s="146"/>
      <c r="E63" s="145"/>
      <c r="F63" s="145"/>
      <c r="J63" s="8"/>
      <c r="K63" s="8"/>
      <c r="L63" s="8"/>
      <c r="M63" s="2"/>
      <c r="N63" s="8"/>
      <c r="O63" s="8" t="s">
        <v>23</v>
      </c>
    </row>
    <row r="64" spans="2:18" ht="15" customHeight="1" thickBot="1" x14ac:dyDescent="0.25">
      <c r="D64" s="147"/>
      <c r="E64" s="145"/>
      <c r="F64" s="38"/>
      <c r="J64" s="8" t="s">
        <v>18</v>
      </c>
      <c r="K64" s="8" t="s">
        <v>19</v>
      </c>
      <c r="L64" s="8"/>
      <c r="M64" s="2"/>
      <c r="N64" s="25"/>
      <c r="O64" s="25"/>
    </row>
    <row r="65" spans="4:15" ht="15.75" customHeight="1" thickBot="1" x14ac:dyDescent="0.25">
      <c r="D65" s="147"/>
      <c r="E65" s="145"/>
      <c r="F65" s="38"/>
      <c r="J65" s="8" t="s">
        <v>20</v>
      </c>
      <c r="K65" s="8" t="s">
        <v>21</v>
      </c>
      <c r="L65" s="8" t="s">
        <v>22</v>
      </c>
      <c r="M65" s="2" t="s">
        <v>24</v>
      </c>
      <c r="N65" s="8" t="s">
        <v>22</v>
      </c>
      <c r="O65" s="2" t="s">
        <v>87</v>
      </c>
    </row>
    <row r="66" spans="4:15" ht="15" customHeight="1" thickBot="1" x14ac:dyDescent="0.25">
      <c r="J66" s="8"/>
      <c r="K66" s="8"/>
      <c r="L66" s="8" t="s">
        <v>23</v>
      </c>
      <c r="M66" s="2" t="s">
        <v>68</v>
      </c>
      <c r="N66" s="8" t="s">
        <v>23</v>
      </c>
      <c r="O66" s="2" t="s">
        <v>68</v>
      </c>
    </row>
    <row r="67" spans="4:15" ht="15" customHeight="1" thickBot="1" x14ac:dyDescent="0.25">
      <c r="J67" s="26" t="s">
        <v>24</v>
      </c>
      <c r="K67" s="8" t="s">
        <v>88</v>
      </c>
      <c r="L67" s="8"/>
      <c r="M67" s="2"/>
      <c r="N67" s="8"/>
      <c r="O67" s="2"/>
    </row>
    <row r="68" spans="4:15" ht="15" customHeight="1" thickBot="1" x14ac:dyDescent="0.25">
      <c r="J68" s="8" t="s">
        <v>68</v>
      </c>
      <c r="K68" s="8"/>
      <c r="L68" s="8"/>
      <c r="M68" s="2"/>
      <c r="N68" s="2"/>
      <c r="O68" s="2"/>
    </row>
    <row r="69" spans="4:15" ht="15" customHeight="1" thickBot="1" x14ac:dyDescent="0.25">
      <c r="J69" s="8" t="s">
        <v>25</v>
      </c>
      <c r="K69" s="8" t="s">
        <v>26</v>
      </c>
      <c r="L69" s="8"/>
      <c r="M69" s="2"/>
      <c r="N69" s="2"/>
      <c r="O69" s="2"/>
    </row>
    <row r="70" spans="4:15" ht="15" customHeight="1" thickBot="1" x14ac:dyDescent="0.25">
      <c r="J70" s="8"/>
      <c r="K70" s="8" t="s">
        <v>111</v>
      </c>
      <c r="L70" s="8"/>
      <c r="M70" s="2"/>
      <c r="N70" s="2"/>
      <c r="O70" s="2"/>
    </row>
    <row r="71" spans="4:15" ht="15" customHeight="1" thickBot="1" x14ac:dyDescent="0.25">
      <c r="J71" s="8"/>
      <c r="K71" s="8" t="s">
        <v>27</v>
      </c>
      <c r="L71" s="8"/>
      <c r="M71" s="2"/>
      <c r="N71" s="2"/>
      <c r="O71" s="2"/>
    </row>
    <row r="72" spans="4:15" ht="15" customHeight="1" thickBot="1" x14ac:dyDescent="0.25">
      <c r="J72" s="8"/>
      <c r="K72" s="8" t="s">
        <v>28</v>
      </c>
      <c r="L72" s="8"/>
      <c r="M72" s="2"/>
      <c r="N72" s="2"/>
      <c r="O72" s="2"/>
    </row>
    <row r="73" spans="4:15" ht="15" customHeight="1" thickBot="1" x14ac:dyDescent="0.25">
      <c r="J73" s="8"/>
      <c r="K73" s="8" t="s">
        <v>29</v>
      </c>
      <c r="L73" s="8"/>
      <c r="M73" s="2"/>
      <c r="N73" s="2"/>
      <c r="O73" s="2"/>
    </row>
    <row r="74" spans="4:15" ht="15" customHeight="1" thickBot="1" x14ac:dyDescent="0.25">
      <c r="J74" s="8" t="s">
        <v>30</v>
      </c>
      <c r="K74" s="8" t="s">
        <v>22</v>
      </c>
      <c r="L74" s="8" t="s">
        <v>84</v>
      </c>
      <c r="M74" s="2"/>
      <c r="N74" s="2"/>
      <c r="O74" s="2"/>
    </row>
    <row r="75" spans="4:15" ht="15" customHeight="1" thickBot="1" x14ac:dyDescent="0.25">
      <c r="J75" s="8"/>
      <c r="K75" s="8" t="s">
        <v>23</v>
      </c>
      <c r="L75" s="8" t="s">
        <v>68</v>
      </c>
      <c r="M75" s="2"/>
      <c r="N75" s="2"/>
      <c r="O75" s="2"/>
    </row>
    <row r="76" spans="4:15" ht="15" thickBot="1" x14ac:dyDescent="0.25">
      <c r="J76" s="8"/>
      <c r="K76" s="8" t="s">
        <v>22</v>
      </c>
      <c r="L76" s="8" t="s">
        <v>85</v>
      </c>
      <c r="M76" s="2"/>
      <c r="N76" s="2"/>
      <c r="O76" s="2"/>
    </row>
    <row r="77" spans="4:15" ht="15" customHeight="1" thickBot="1" x14ac:dyDescent="0.25">
      <c r="J77" s="8"/>
      <c r="K77" s="8" t="s">
        <v>23</v>
      </c>
      <c r="L77" s="8" t="s">
        <v>68</v>
      </c>
      <c r="M77" s="2"/>
      <c r="N77" s="2"/>
      <c r="O77" s="2"/>
    </row>
    <row r="78" spans="4:15" ht="15" customHeight="1" thickBot="1" x14ac:dyDescent="0.25">
      <c r="J78" s="8" t="s">
        <v>31</v>
      </c>
      <c r="K78" s="8"/>
      <c r="L78" s="8"/>
      <c r="M78" s="2"/>
      <c r="N78" s="2"/>
      <c r="O78" s="2"/>
    </row>
    <row r="79" spans="4:15" ht="14.25" customHeight="1" x14ac:dyDescent="0.2"/>
    <row r="80" spans="4:15" ht="14.25" customHeight="1" x14ac:dyDescent="0.2"/>
    <row r="81" ht="15" customHeight="1" x14ac:dyDescent="0.2"/>
    <row r="82" x14ac:dyDescent="0.2"/>
    <row r="83" x14ac:dyDescent="0.2"/>
    <row r="84" x14ac:dyDescent="0.2"/>
    <row r="85" ht="14.25" customHeight="1" x14ac:dyDescent="0.2"/>
    <row r="86" x14ac:dyDescent="0.2"/>
    <row r="87" x14ac:dyDescent="0.2"/>
    <row r="88" ht="15" customHeight="1" x14ac:dyDescent="0.2"/>
    <row r="89" ht="15" customHeight="1" x14ac:dyDescent="0.2"/>
    <row r="90" x14ac:dyDescent="0.2"/>
    <row r="91" ht="15" customHeight="1" x14ac:dyDescent="0.2"/>
    <row r="92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5" customHeight="1" x14ac:dyDescent="0.2"/>
    <row r="98" x14ac:dyDescent="0.2"/>
    <row r="99" x14ac:dyDescent="0.2"/>
    <row r="100" x14ac:dyDescent="0.2"/>
    <row r="101" ht="14.25" customHeight="1" x14ac:dyDescent="0.2"/>
    <row r="102" x14ac:dyDescent="0.2"/>
    <row r="103" x14ac:dyDescent="0.2"/>
    <row r="104" x14ac:dyDescent="0.2"/>
    <row r="105" x14ac:dyDescent="0.2"/>
    <row r="106" x14ac:dyDescent="0.2"/>
    <row r="107" ht="15" customHeight="1" x14ac:dyDescent="0.2"/>
    <row r="108" x14ac:dyDescent="0.2"/>
    <row r="109" x14ac:dyDescent="0.2"/>
    <row r="110" x14ac:dyDescent="0.2"/>
    <row r="111" x14ac:dyDescent="0.2"/>
    <row r="112" ht="14.25" customHeight="1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ht="14.25" customHeight="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ht="14.25" customHeight="1" x14ac:dyDescent="0.2"/>
    <row r="129" x14ac:dyDescent="0.2"/>
    <row r="130" x14ac:dyDescent="0.2"/>
    <row r="131" x14ac:dyDescent="0.2"/>
    <row r="132" x14ac:dyDescent="0.2"/>
    <row r="133" ht="14.25" customHeight="1" x14ac:dyDescent="0.2"/>
    <row r="134" ht="15" customHeight="1" x14ac:dyDescent="0.2"/>
    <row r="135" x14ac:dyDescent="0.2"/>
    <row r="136" ht="15" customHeight="1" x14ac:dyDescent="0.2"/>
    <row r="137" ht="15" customHeight="1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ht="15" customHeight="1" x14ac:dyDescent="0.2"/>
    <row r="152" ht="14.25" customHeight="1" x14ac:dyDescent="0.2"/>
    <row r="153" ht="14.25" customHeight="1" x14ac:dyDescent="0.2"/>
    <row r="154" x14ac:dyDescent="0.2"/>
    <row r="155" x14ac:dyDescent="0.2"/>
    <row r="156" x14ac:dyDescent="0.2"/>
    <row r="157" x14ac:dyDescent="0.2"/>
  </sheetData>
  <mergeCells count="48">
    <mergeCell ref="D65:E65"/>
    <mergeCell ref="B38:C39"/>
    <mergeCell ref="D38:F39"/>
    <mergeCell ref="D60:E60"/>
    <mergeCell ref="D61:E61"/>
    <mergeCell ref="D63:F63"/>
    <mergeCell ref="D64:E64"/>
    <mergeCell ref="B37:C37"/>
    <mergeCell ref="D37:F37"/>
    <mergeCell ref="B28:C28"/>
    <mergeCell ref="B30:C30"/>
    <mergeCell ref="B31:F31"/>
    <mergeCell ref="B32:C32"/>
    <mergeCell ref="D32:F32"/>
    <mergeCell ref="B33:B34"/>
    <mergeCell ref="D33:F33"/>
    <mergeCell ref="D34:F34"/>
    <mergeCell ref="B35:F35"/>
    <mergeCell ref="B36:C36"/>
    <mergeCell ref="B29:C29"/>
    <mergeCell ref="B24:C24"/>
    <mergeCell ref="D24:F24"/>
    <mergeCell ref="B25:C25"/>
    <mergeCell ref="D25:F25"/>
    <mergeCell ref="B27:C27"/>
    <mergeCell ref="D27:F27"/>
    <mergeCell ref="B26:C26"/>
    <mergeCell ref="B18:B20"/>
    <mergeCell ref="E18:E20"/>
    <mergeCell ref="B21:C21"/>
    <mergeCell ref="E21:F21"/>
    <mergeCell ref="B23:C23"/>
    <mergeCell ref="D23:F23"/>
    <mergeCell ref="B22:C22"/>
    <mergeCell ref="E22:F22"/>
    <mergeCell ref="B9:C10"/>
    <mergeCell ref="D9:D10"/>
    <mergeCell ref="B11:B14"/>
    <mergeCell ref="B15:B17"/>
    <mergeCell ref="D15:F15"/>
    <mergeCell ref="D16:F16"/>
    <mergeCell ref="D17:F17"/>
    <mergeCell ref="B8:F8"/>
    <mergeCell ref="B3:F3"/>
    <mergeCell ref="E4:F4"/>
    <mergeCell ref="E5:F5"/>
    <mergeCell ref="E6:F6"/>
    <mergeCell ref="E7:F7"/>
  </mergeCells>
  <dataValidations count="8">
    <dataValidation allowBlank="1" showErrorMessage="1" sqref="D21:D22" xr:uid="{00000000-0002-0000-0100-000000000000}"/>
    <dataValidation type="list" allowBlank="1" showInputMessage="1" showErrorMessage="1" sqref="D47" xr:uid="{00000000-0002-0000-0100-000001000000}">
      <formula1>Motor_reductor</formula1>
    </dataValidation>
    <dataValidation type="list" allowBlank="1" showInputMessage="1" showErrorMessage="1" sqref="F64 D46 D48 D42:D43" xr:uid="{00000000-0002-0000-0100-000002000000}">
      <formula1>Yes_No</formula1>
    </dataValidation>
    <dataValidation type="list" allowBlank="1" showInputMessage="1" showErrorMessage="1" sqref="D44" xr:uid="{00000000-0002-0000-0100-000003000000}">
      <formula1>Material</formula1>
    </dataValidation>
    <dataValidation allowBlank="1" showInputMessage="1" showErrorMessage="1" prompt="Please note that by default screws are made of wear-resistant carbon steel." sqref="D30" xr:uid="{00000000-0002-0000-0100-000004000000}"/>
    <dataValidation allowBlank="1" showErrorMessage="1" prompt="Please indicate Cl- concentration if it is higher than 300 mg/l." sqref="D9:D14" xr:uid="{00000000-0002-0000-0100-000005000000}"/>
    <dataValidation allowBlank="1" showErrorMessage="1" prompt="Please note that our dewatering equipment is not designed to be used at a temperature below 0 C." sqref="D36" xr:uid="{00000000-0002-0000-0100-000006000000}"/>
    <dataValidation type="list" allowBlank="1" showInputMessage="1" showErrorMessage="1" sqref="H3" xr:uid="{00000000-0002-0000-0100-000007000000}">
      <formula1>"RUS, ENG, US ENG, POL"</formula1>
    </dataValidation>
  </dataValidations>
  <pageMargins left="0.7" right="0.7" top="0.75" bottom="0.75" header="0.3" footer="0.3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R157"/>
  <sheetViews>
    <sheetView topLeftCell="A8" zoomScale="85" zoomScaleNormal="85" workbookViewId="0">
      <selection activeCell="F18" sqref="F18"/>
    </sheetView>
  </sheetViews>
  <sheetFormatPr defaultColWidth="0.85546875" defaultRowHeight="14.25" zeroHeight="1" x14ac:dyDescent="0.2"/>
  <cols>
    <col min="1" max="1" width="2" style="2" customWidth="1"/>
    <col min="2" max="2" width="23.7109375" style="3" customWidth="1"/>
    <col min="3" max="3" width="36" style="3" customWidth="1"/>
    <col min="4" max="4" width="21" style="3" customWidth="1"/>
    <col min="5" max="5" width="42.28515625" style="3" customWidth="1"/>
    <col min="6" max="6" width="57.28515625" style="3" customWidth="1"/>
    <col min="7" max="7" width="13.42578125" style="2" customWidth="1"/>
    <col min="8" max="8" width="23.7109375" style="2" customWidth="1"/>
    <col min="9" max="9" width="55" style="2" customWidth="1"/>
    <col min="10" max="23" width="20.7109375" style="3" customWidth="1"/>
    <col min="24" max="16384" width="0.85546875" style="3"/>
  </cols>
  <sheetData>
    <row r="2" spans="2:15" ht="15.75" thickBot="1" x14ac:dyDescent="0.3">
      <c r="B2" s="4" t="s">
        <v>168</v>
      </c>
      <c r="C2" s="3" t="str">
        <f>Screens!C1</f>
        <v>Барабанная решетка РМБТП</v>
      </c>
      <c r="J2" s="3" t="s">
        <v>0</v>
      </c>
    </row>
    <row r="3" spans="2:15" ht="15" thickBot="1" x14ac:dyDescent="0.25">
      <c r="B3" s="211" t="s">
        <v>134</v>
      </c>
      <c r="C3" s="212"/>
      <c r="D3" s="212"/>
      <c r="E3" s="212"/>
      <c r="F3" s="213"/>
      <c r="H3" s="2" t="s">
        <v>129</v>
      </c>
      <c r="I3" s="3" t="s">
        <v>178</v>
      </c>
      <c r="J3" s="8" t="s">
        <v>151</v>
      </c>
      <c r="K3" s="3" t="s">
        <v>14</v>
      </c>
    </row>
    <row r="4" spans="2:15" ht="15" thickBot="1" x14ac:dyDescent="0.25">
      <c r="B4" s="54" t="s">
        <v>131</v>
      </c>
      <c r="C4" s="55"/>
      <c r="D4" s="56" t="s">
        <v>135</v>
      </c>
      <c r="E4" s="214"/>
      <c r="F4" s="215"/>
      <c r="H4" s="5" t="s">
        <v>156</v>
      </c>
      <c r="I4" s="3" t="s">
        <v>214</v>
      </c>
      <c r="J4" s="11" t="s">
        <v>152</v>
      </c>
      <c r="K4" s="3" t="s">
        <v>15</v>
      </c>
    </row>
    <row r="5" spans="2:15" x14ac:dyDescent="0.2">
      <c r="B5" s="54" t="s">
        <v>132</v>
      </c>
      <c r="C5" s="55"/>
      <c r="D5" s="56" t="s">
        <v>136</v>
      </c>
      <c r="E5" s="214"/>
      <c r="F5" s="215"/>
      <c r="H5" s="6" t="s">
        <v>157</v>
      </c>
      <c r="I5" s="3" t="s">
        <v>179</v>
      </c>
      <c r="K5" s="3" t="s">
        <v>16</v>
      </c>
    </row>
    <row r="6" spans="2:15" x14ac:dyDescent="0.2">
      <c r="B6" s="54" t="s">
        <v>133</v>
      </c>
      <c r="C6" s="55"/>
      <c r="D6" s="56" t="s">
        <v>127</v>
      </c>
      <c r="E6" s="214"/>
      <c r="F6" s="215"/>
      <c r="I6" s="3" t="s">
        <v>180</v>
      </c>
      <c r="J6" s="3" t="s">
        <v>153</v>
      </c>
      <c r="K6" s="3" t="s">
        <v>17</v>
      </c>
    </row>
    <row r="7" spans="2:15" ht="15" thickBot="1" x14ac:dyDescent="0.25">
      <c r="B7" s="57" t="s">
        <v>68</v>
      </c>
      <c r="C7" s="58"/>
      <c r="D7" s="59" t="s">
        <v>137</v>
      </c>
      <c r="E7" s="216"/>
      <c r="F7" s="217"/>
      <c r="I7" s="3" t="s">
        <v>181</v>
      </c>
      <c r="J7" s="3" t="s">
        <v>154</v>
      </c>
      <c r="K7" s="3" t="s">
        <v>155</v>
      </c>
    </row>
    <row r="8" spans="2:15" ht="15" thickBot="1" x14ac:dyDescent="0.25">
      <c r="B8" s="208" t="s">
        <v>130</v>
      </c>
      <c r="C8" s="209"/>
      <c r="D8" s="209"/>
      <c r="E8" s="209"/>
      <c r="F8" s="210"/>
      <c r="H8" s="3"/>
      <c r="I8" s="3" t="s">
        <v>182</v>
      </c>
    </row>
    <row r="9" spans="2:15" ht="17.25" customHeight="1" x14ac:dyDescent="0.2">
      <c r="B9" s="218" t="s">
        <v>0</v>
      </c>
      <c r="C9" s="219"/>
      <c r="D9" s="222">
        <f>Screens!D8</f>
        <v>0</v>
      </c>
      <c r="E9" s="60" t="str">
        <f>IF(D9="Бытовые","Смешанные с….","Вид промышленности")</f>
        <v>Вид промышленности</v>
      </c>
      <c r="F9" s="61"/>
      <c r="H9" s="3"/>
      <c r="I9" s="3" t="s">
        <v>183</v>
      </c>
      <c r="J9" s="3" t="s">
        <v>22</v>
      </c>
      <c r="K9" s="3" t="s">
        <v>158</v>
      </c>
    </row>
    <row r="10" spans="2:15" ht="60" customHeight="1" thickBot="1" x14ac:dyDescent="0.3">
      <c r="B10" s="220"/>
      <c r="C10" s="221"/>
      <c r="D10" s="223"/>
      <c r="E10" s="39" t="str">
        <f>IF(D9="Бытовые","Процент каждого вида","Уточните источник образования стоков")</f>
        <v>Уточните источник образования стоков</v>
      </c>
      <c r="F10" s="40"/>
      <c r="H10" s="3"/>
      <c r="I10" s="3" t="s">
        <v>184</v>
      </c>
      <c r="J10" s="4" t="s">
        <v>23</v>
      </c>
      <c r="K10" s="2" t="s">
        <v>159</v>
      </c>
      <c r="L10" s="2"/>
      <c r="M10" s="2"/>
      <c r="N10" s="4" t="s">
        <v>36</v>
      </c>
      <c r="O10" s="2"/>
    </row>
    <row r="11" spans="2:15" ht="45" customHeight="1" x14ac:dyDescent="0.25">
      <c r="B11" s="224" t="s">
        <v>138</v>
      </c>
      <c r="C11" s="36" t="s">
        <v>115</v>
      </c>
      <c r="D11" s="33"/>
      <c r="E11" s="33"/>
      <c r="F11" s="34"/>
      <c r="H11" s="3"/>
      <c r="I11" s="3" t="s">
        <v>185</v>
      </c>
      <c r="J11" s="4" t="s">
        <v>164</v>
      </c>
      <c r="K11" s="2" t="s">
        <v>165</v>
      </c>
      <c r="L11" s="2"/>
      <c r="M11" s="2"/>
      <c r="N11" s="4"/>
      <c r="O11" s="2"/>
    </row>
    <row r="12" spans="2:15" ht="15" customHeight="1" x14ac:dyDescent="0.25">
      <c r="B12" s="225"/>
      <c r="C12" s="27" t="s">
        <v>160</v>
      </c>
      <c r="D12" s="28"/>
      <c r="E12" s="28"/>
      <c r="F12" s="1"/>
      <c r="H12" s="3"/>
      <c r="I12" s="3" t="s">
        <v>186</v>
      </c>
      <c r="J12" s="4" t="s">
        <v>267</v>
      </c>
      <c r="K12" s="2" t="s">
        <v>166</v>
      </c>
      <c r="L12" s="2"/>
      <c r="M12" s="2"/>
      <c r="N12" s="4"/>
      <c r="O12" s="2"/>
    </row>
    <row r="13" spans="2:15" ht="15" customHeight="1" x14ac:dyDescent="0.25">
      <c r="B13" s="225"/>
      <c r="C13" s="27" t="s">
        <v>139</v>
      </c>
      <c r="D13" s="28"/>
      <c r="E13" s="28"/>
      <c r="F13" s="1"/>
      <c r="H13" s="3"/>
      <c r="I13" s="2" t="s">
        <v>187</v>
      </c>
      <c r="J13" s="4"/>
      <c r="K13" s="2" t="s">
        <v>167</v>
      </c>
      <c r="L13" s="2"/>
      <c r="M13" s="2"/>
      <c r="N13" s="4"/>
      <c r="O13" s="2"/>
    </row>
    <row r="14" spans="2:15" ht="15" customHeight="1" thickBot="1" x14ac:dyDescent="0.3">
      <c r="B14" s="226"/>
      <c r="C14" s="35" t="str">
        <f>IF(D9="Бытовые","-","Плавающие вещества, мг/л")</f>
        <v>Плавающие вещества, мг/л</v>
      </c>
      <c r="D14" s="47"/>
      <c r="E14" s="47"/>
      <c r="F14" s="48"/>
      <c r="J14" s="4"/>
      <c r="K14" s="2"/>
      <c r="L14" s="2"/>
      <c r="M14" s="2"/>
      <c r="N14" s="4"/>
      <c r="O14" s="2"/>
    </row>
    <row r="15" spans="2:15" ht="15" customHeight="1" x14ac:dyDescent="0.25">
      <c r="B15" s="224" t="s">
        <v>203</v>
      </c>
      <c r="C15" s="42" t="s">
        <v>140</v>
      </c>
      <c r="D15" s="228"/>
      <c r="E15" s="229"/>
      <c r="F15" s="230"/>
      <c r="J15" s="4"/>
      <c r="K15" s="2"/>
      <c r="L15" s="2"/>
      <c r="M15" s="2"/>
      <c r="N15" s="4"/>
      <c r="O15" s="2"/>
    </row>
    <row r="16" spans="2:15" ht="15" customHeight="1" thickBot="1" x14ac:dyDescent="0.3">
      <c r="B16" s="225"/>
      <c r="C16" s="43" t="s">
        <v>68</v>
      </c>
      <c r="D16" s="231"/>
      <c r="E16" s="232"/>
      <c r="F16" s="233"/>
      <c r="J16" s="4"/>
      <c r="K16" s="2"/>
      <c r="L16" s="2"/>
      <c r="M16" s="2"/>
      <c r="N16" s="4"/>
      <c r="O16" s="2"/>
    </row>
    <row r="17" spans="2:18" ht="15" customHeight="1" thickBot="1" x14ac:dyDescent="0.3">
      <c r="B17" s="227"/>
      <c r="C17" s="43" t="s">
        <v>141</v>
      </c>
      <c r="D17" s="231"/>
      <c r="E17" s="232"/>
      <c r="F17" s="233"/>
      <c r="J17" s="8" t="s">
        <v>105</v>
      </c>
      <c r="K17" s="8"/>
      <c r="L17" s="8" t="s">
        <v>68</v>
      </c>
      <c r="M17" s="2"/>
      <c r="N17" s="8" t="s">
        <v>37</v>
      </c>
      <c r="O17" s="8" t="s">
        <v>2</v>
      </c>
      <c r="Q17" s="9" t="s">
        <v>73</v>
      </c>
      <c r="R17" s="10" t="s">
        <v>74</v>
      </c>
    </row>
    <row r="18" spans="2:18" ht="15" customHeight="1" thickBot="1" x14ac:dyDescent="0.3">
      <c r="B18" s="234" t="str">
        <f>IF(D21="Напорная", "Расход (общий на все установки), м3/час", "Расход (общий на все установки), м3/час")</f>
        <v>Расход (общий на все установки), м3/час</v>
      </c>
      <c r="C18" s="44" t="s">
        <v>142</v>
      </c>
      <c r="D18" s="51"/>
      <c r="E18" s="237" t="str">
        <f>IF(AND(D21="Самотечная",D22="В канале"),"Уровень воды за решеткой при соотвествующем расходе, мм", "-")</f>
        <v>-</v>
      </c>
      <c r="F18" s="53" t="str">
        <f>IF(D21="Напорная", "(По максимальной подаче насосов, а не по коэф из СНиП)", " ")</f>
        <v xml:space="preserve"> </v>
      </c>
      <c r="J18" s="8" t="s">
        <v>106</v>
      </c>
      <c r="K18" s="11"/>
      <c r="L18" s="11"/>
      <c r="M18" s="2"/>
      <c r="N18" s="8"/>
      <c r="O18" s="8" t="s">
        <v>38</v>
      </c>
      <c r="Q18" s="12"/>
      <c r="R18" s="12" t="s">
        <v>89</v>
      </c>
    </row>
    <row r="19" spans="2:18" ht="15" customHeight="1" thickBot="1" x14ac:dyDescent="0.3">
      <c r="B19" s="235"/>
      <c r="C19" s="46" t="s">
        <v>143</v>
      </c>
      <c r="D19" s="51"/>
      <c r="E19" s="238"/>
      <c r="F19" s="52"/>
      <c r="H19" s="2" t="s">
        <v>188</v>
      </c>
      <c r="J19" s="8"/>
      <c r="K19" s="8"/>
      <c r="L19" s="8"/>
      <c r="M19" s="2"/>
      <c r="N19" s="8"/>
      <c r="O19" s="8" t="s">
        <v>3</v>
      </c>
      <c r="Q19" s="10" t="s">
        <v>79</v>
      </c>
      <c r="R19" s="10" t="s">
        <v>68</v>
      </c>
    </row>
    <row r="20" spans="2:18" ht="24" customHeight="1" thickBot="1" x14ac:dyDescent="0.25">
      <c r="B20" s="236"/>
      <c r="C20" s="45" t="s">
        <v>144</v>
      </c>
      <c r="D20" s="73"/>
      <c r="E20" s="239"/>
      <c r="F20" s="72"/>
      <c r="J20" s="8"/>
      <c r="K20" s="8"/>
      <c r="L20" s="8"/>
      <c r="M20" s="2"/>
      <c r="N20" s="8"/>
      <c r="O20" s="8"/>
      <c r="Q20" s="13" t="s">
        <v>80</v>
      </c>
      <c r="R20" s="13" t="s">
        <v>82</v>
      </c>
    </row>
    <row r="21" spans="2:18" ht="15" customHeight="1" thickBot="1" x14ac:dyDescent="0.3">
      <c r="B21" s="240" t="s">
        <v>145</v>
      </c>
      <c r="C21" s="241"/>
      <c r="D21" s="49">
        <f>Screens!D20</f>
        <v>0</v>
      </c>
      <c r="E21" s="298" t="str">
        <f>IF(D21="Напорная","Избыточный напор не более 1 м вод.ст.", "-")</f>
        <v>-</v>
      </c>
      <c r="F21" s="299"/>
      <c r="J21" s="8"/>
      <c r="K21" s="8"/>
      <c r="L21" s="8"/>
      <c r="M21" s="2"/>
      <c r="N21" s="8"/>
      <c r="O21" s="8"/>
      <c r="Q21" s="14"/>
      <c r="R21" s="14"/>
    </row>
    <row r="22" spans="2:18" ht="15" customHeight="1" thickBot="1" x14ac:dyDescent="0.3">
      <c r="B22" s="249" t="s">
        <v>163</v>
      </c>
      <c r="C22" s="250"/>
      <c r="D22" s="49">
        <f>Screens!D21</f>
        <v>0</v>
      </c>
      <c r="E22" s="300" t="str">
        <f>IF(AND(D22="В канале",OR(C2="Решетка ротационная РДС", C2="Щеточная решетка РМБЩ",C2="Барабанная решетка РМБТП")),"Этот тип решетки не устанавливается в канале!","-")</f>
        <v>-</v>
      </c>
      <c r="F22" s="301"/>
      <c r="J22" s="8"/>
      <c r="K22" s="8"/>
      <c r="L22" s="8"/>
      <c r="M22" s="2"/>
      <c r="N22" s="8"/>
      <c r="O22" s="8"/>
      <c r="Q22" s="14"/>
      <c r="R22" s="14"/>
    </row>
    <row r="23" spans="2:18" ht="15" customHeight="1" thickBot="1" x14ac:dyDescent="0.25">
      <c r="B23" s="244" t="s">
        <v>146</v>
      </c>
      <c r="C23" s="245"/>
      <c r="D23" s="246"/>
      <c r="E23" s="247"/>
      <c r="F23" s="248"/>
      <c r="J23" s="8" t="s">
        <v>0</v>
      </c>
      <c r="K23" s="8" t="s">
        <v>99</v>
      </c>
      <c r="L23" s="8" t="s">
        <v>115</v>
      </c>
      <c r="M23" s="2"/>
      <c r="N23" s="8"/>
      <c r="O23" s="8"/>
      <c r="Q23" s="12" t="s">
        <v>81</v>
      </c>
      <c r="R23" s="12" t="s">
        <v>83</v>
      </c>
    </row>
    <row r="24" spans="2:18" ht="15" customHeight="1" thickBot="1" x14ac:dyDescent="0.25">
      <c r="B24" s="253" t="s">
        <v>162</v>
      </c>
      <c r="C24" s="254"/>
      <c r="D24" s="255">
        <f>Screens!D26</f>
        <v>0</v>
      </c>
      <c r="E24" s="256"/>
      <c r="F24" s="257"/>
      <c r="J24" s="8"/>
      <c r="K24" s="11" t="s">
        <v>100</v>
      </c>
      <c r="L24" s="11" t="s">
        <v>108</v>
      </c>
      <c r="M24" s="2"/>
      <c r="N24" s="8"/>
      <c r="O24" s="8" t="s">
        <v>39</v>
      </c>
      <c r="Q24" s="10" t="s">
        <v>76</v>
      </c>
      <c r="R24" s="10" t="s">
        <v>77</v>
      </c>
    </row>
    <row r="25" spans="2:18" ht="15" customHeight="1" thickBot="1" x14ac:dyDescent="0.25">
      <c r="B25" s="253" t="str">
        <f>IF(D22="В канале","Высота выгрузки от дна/борта канала, мм","-")</f>
        <v>-</v>
      </c>
      <c r="C25" s="254"/>
      <c r="D25" s="258"/>
      <c r="E25" s="259"/>
      <c r="F25" s="260"/>
      <c r="J25" s="8"/>
      <c r="K25" s="11"/>
      <c r="L25" s="11"/>
      <c r="M25" s="2"/>
      <c r="N25" s="8"/>
      <c r="O25" s="8"/>
      <c r="Q25" s="15"/>
      <c r="R25" s="15"/>
    </row>
    <row r="26" spans="2:18" ht="15" customHeight="1" thickBot="1" x14ac:dyDescent="0.25">
      <c r="B26" s="262" t="str">
        <f>IF(D22="В канале","Высота выгрузки от верха канала, мм","Высота выгрузки от уровня пола, мм")</f>
        <v>Высота выгрузки от уровня пола, мм</v>
      </c>
      <c r="C26" s="263"/>
      <c r="D26" s="76"/>
      <c r="E26" s="74"/>
      <c r="F26" s="75"/>
      <c r="J26" s="8"/>
      <c r="K26" s="11"/>
      <c r="L26" s="11"/>
      <c r="M26" s="2"/>
      <c r="N26" s="8"/>
      <c r="O26" s="8"/>
      <c r="Q26" s="15"/>
      <c r="R26" s="15"/>
    </row>
    <row r="27" spans="2:18" ht="15" customHeight="1" thickBot="1" x14ac:dyDescent="0.3">
      <c r="B27" s="253" t="str">
        <f>IF(D22="В канале", "Глубина канала, мм", "Диаметр подводящего трубопровода, мм")</f>
        <v>Диаметр подводящего трубопровода, мм</v>
      </c>
      <c r="C27" s="261"/>
      <c r="D27" s="258"/>
      <c r="E27" s="232"/>
      <c r="F27" s="233"/>
      <c r="J27" s="8"/>
      <c r="K27" s="8" t="s">
        <v>99</v>
      </c>
      <c r="L27" s="11" t="s">
        <v>109</v>
      </c>
      <c r="M27" s="2"/>
      <c r="N27" s="8" t="s">
        <v>40</v>
      </c>
      <c r="O27" s="8" t="s">
        <v>2</v>
      </c>
      <c r="Q27" s="12"/>
      <c r="R27" s="12" t="s">
        <v>78</v>
      </c>
    </row>
    <row r="28" spans="2:18" ht="15" customHeight="1" thickBot="1" x14ac:dyDescent="0.3">
      <c r="B28" s="253" t="str">
        <f>IF(D22="В канале", "Ширина канала, мм", "-")</f>
        <v>-</v>
      </c>
      <c r="C28" s="261"/>
      <c r="D28" s="63"/>
      <c r="E28" s="66"/>
      <c r="F28" s="67"/>
      <c r="J28" s="8"/>
      <c r="K28" s="11" t="s">
        <v>100</v>
      </c>
      <c r="L28" s="11" t="s">
        <v>109</v>
      </c>
      <c r="M28" s="2"/>
      <c r="N28" s="8"/>
      <c r="O28" s="8" t="s">
        <v>41</v>
      </c>
      <c r="Q28" s="10" t="s">
        <v>79</v>
      </c>
      <c r="R28" s="10" t="s">
        <v>75</v>
      </c>
    </row>
    <row r="29" spans="2:18" ht="15" customHeight="1" thickBot="1" x14ac:dyDescent="0.3">
      <c r="B29" s="253" t="s">
        <v>204</v>
      </c>
      <c r="C29" s="297"/>
      <c r="D29" s="63"/>
      <c r="E29" s="66"/>
      <c r="F29" s="67"/>
      <c r="J29" s="8" t="s">
        <v>1</v>
      </c>
      <c r="K29" s="8" t="s">
        <v>102</v>
      </c>
      <c r="L29" s="8" t="s">
        <v>68</v>
      </c>
      <c r="M29" s="2"/>
      <c r="N29" s="8"/>
      <c r="O29" s="8" t="s">
        <v>42</v>
      </c>
      <c r="Q29" s="13" t="s">
        <v>80</v>
      </c>
      <c r="R29" s="13" t="s">
        <v>68</v>
      </c>
    </row>
    <row r="30" spans="2:18" ht="15" customHeight="1" thickBot="1" x14ac:dyDescent="0.3">
      <c r="B30" s="269" t="s">
        <v>147</v>
      </c>
      <c r="C30" s="270"/>
      <c r="D30" s="80">
        <f>Screens!D29</f>
        <v>0</v>
      </c>
      <c r="E30" s="81"/>
      <c r="F30" s="82"/>
      <c r="J30" s="8"/>
      <c r="K30" s="8" t="s">
        <v>101</v>
      </c>
      <c r="L30" s="8" t="s">
        <v>92</v>
      </c>
      <c r="M30" s="2"/>
      <c r="N30" s="8"/>
      <c r="O30" s="8"/>
      <c r="Q30" s="14"/>
      <c r="R30" s="14"/>
    </row>
    <row r="31" spans="2:18" ht="45.75" customHeight="1" thickBot="1" x14ac:dyDescent="0.3">
      <c r="B31" s="271" t="s">
        <v>53</v>
      </c>
      <c r="C31" s="272"/>
      <c r="D31" s="273"/>
      <c r="E31" s="273"/>
      <c r="F31" s="221"/>
      <c r="J31" s="8"/>
      <c r="K31" s="8" t="s">
        <v>102</v>
      </c>
      <c r="L31" s="8" t="s">
        <v>68</v>
      </c>
      <c r="M31" s="2"/>
      <c r="N31" s="8"/>
      <c r="O31" s="8" t="s">
        <v>39</v>
      </c>
      <c r="Q31" s="12" t="s">
        <v>81</v>
      </c>
      <c r="R31" s="12" t="s">
        <v>75</v>
      </c>
    </row>
    <row r="32" spans="2:18" ht="15" customHeight="1" thickBot="1" x14ac:dyDescent="0.3">
      <c r="B32" s="274" t="s">
        <v>21</v>
      </c>
      <c r="C32" s="275"/>
      <c r="D32" s="276"/>
      <c r="E32" s="277"/>
      <c r="F32" s="278"/>
      <c r="J32" s="8"/>
      <c r="K32" s="8" t="s">
        <v>101</v>
      </c>
      <c r="L32" s="8" t="s">
        <v>93</v>
      </c>
      <c r="M32" s="2"/>
      <c r="N32" s="8" t="s">
        <v>43</v>
      </c>
      <c r="O32" s="8" t="s">
        <v>44</v>
      </c>
      <c r="Q32" s="10" t="s">
        <v>79</v>
      </c>
      <c r="R32" s="10" t="s">
        <v>68</v>
      </c>
    </row>
    <row r="33" spans="2:18" ht="26.25" customHeight="1" thickBot="1" x14ac:dyDescent="0.3">
      <c r="B33" s="234" t="s">
        <v>148</v>
      </c>
      <c r="C33" s="7" t="s">
        <v>149</v>
      </c>
      <c r="D33" s="279"/>
      <c r="E33" s="280"/>
      <c r="F33" s="243"/>
      <c r="J33" s="8"/>
      <c r="K33" s="8"/>
      <c r="L33" s="8"/>
      <c r="M33" s="2"/>
      <c r="N33" s="8"/>
      <c r="O33" s="8"/>
      <c r="Q33" s="29"/>
      <c r="R33" s="29"/>
    </row>
    <row r="34" spans="2:18" ht="43.5" customHeight="1" thickBot="1" x14ac:dyDescent="0.3">
      <c r="B34" s="235"/>
      <c r="C34" s="101" t="s">
        <v>205</v>
      </c>
      <c r="D34" s="281"/>
      <c r="E34" s="282"/>
      <c r="F34" s="283"/>
      <c r="J34" s="8"/>
      <c r="K34" s="8"/>
      <c r="L34" s="8"/>
      <c r="M34" s="2"/>
      <c r="N34" s="8"/>
      <c r="O34" s="8"/>
      <c r="Q34" s="29"/>
      <c r="R34" s="29"/>
    </row>
    <row r="35" spans="2:18" ht="15" customHeight="1" thickBot="1" x14ac:dyDescent="0.25">
      <c r="B35" s="284" t="s">
        <v>275</v>
      </c>
      <c r="C35" s="285"/>
      <c r="D35" s="285"/>
      <c r="E35" s="285"/>
      <c r="F35" s="286"/>
      <c r="J35" s="8"/>
      <c r="K35" s="8"/>
      <c r="L35" s="8"/>
      <c r="M35" s="2"/>
      <c r="N35" s="8"/>
      <c r="O35" s="8"/>
      <c r="Q35" s="29"/>
      <c r="R35" s="29"/>
    </row>
    <row r="36" spans="2:18" ht="33.75" customHeight="1" thickBot="1" x14ac:dyDescent="0.25">
      <c r="B36" s="287" t="s">
        <v>1</v>
      </c>
      <c r="C36" s="288"/>
      <c r="D36" s="30">
        <f>Screens!D35</f>
        <v>0</v>
      </c>
      <c r="E36" s="96" t="str">
        <f>IF(D36="Наружное","Минимальная температура окружающей среды, ºC ***","-")</f>
        <v>-</v>
      </c>
      <c r="F36" s="62"/>
      <c r="J36" s="8"/>
      <c r="K36" s="8"/>
      <c r="L36" s="8"/>
      <c r="M36" s="2"/>
      <c r="N36" s="8" t="s">
        <v>45</v>
      </c>
      <c r="O36" s="8" t="s">
        <v>46</v>
      </c>
      <c r="Q36" s="12" t="s">
        <v>81</v>
      </c>
      <c r="R36" s="12" t="s">
        <v>63</v>
      </c>
    </row>
    <row r="37" spans="2:18" ht="16.5" customHeight="1" thickBot="1" x14ac:dyDescent="0.25">
      <c r="B37" s="264" t="str">
        <f>IF(D36="В помещении", "Размеры здания (Д*Ш*В), м", "-")</f>
        <v>-</v>
      </c>
      <c r="C37" s="265"/>
      <c r="D37" s="266"/>
      <c r="E37" s="267"/>
      <c r="F37" s="268"/>
      <c r="J37" s="8"/>
      <c r="K37" s="8"/>
      <c r="L37" s="8"/>
      <c r="M37" s="2"/>
      <c r="N37" s="8" t="s">
        <v>47</v>
      </c>
      <c r="O37" s="8"/>
      <c r="Q37" s="10" t="s">
        <v>79</v>
      </c>
      <c r="R37" s="10" t="s">
        <v>68</v>
      </c>
    </row>
    <row r="38" spans="2:18" s="2" customFormat="1" ht="15" customHeight="1" thickBot="1" x14ac:dyDescent="0.25">
      <c r="B38" s="289" t="s">
        <v>150</v>
      </c>
      <c r="C38" s="290"/>
      <c r="D38" s="291"/>
      <c r="E38" s="292"/>
      <c r="F38" s="293"/>
      <c r="J38" s="8"/>
      <c r="K38" s="8"/>
      <c r="L38" s="8"/>
      <c r="N38" s="8" t="s">
        <v>71</v>
      </c>
      <c r="O38" s="8"/>
      <c r="Q38" s="18" t="s">
        <v>80</v>
      </c>
      <c r="R38" s="18" t="s">
        <v>64</v>
      </c>
    </row>
    <row r="39" spans="2:18" s="2" customFormat="1" ht="20.25" customHeight="1" thickBot="1" x14ac:dyDescent="0.25">
      <c r="B39" s="220"/>
      <c r="C39" s="221"/>
      <c r="D39" s="294"/>
      <c r="E39" s="295"/>
      <c r="F39" s="296"/>
      <c r="J39" s="8"/>
      <c r="K39" s="8"/>
      <c r="L39" s="8"/>
      <c r="N39" s="8" t="s">
        <v>48</v>
      </c>
      <c r="O39" s="8"/>
      <c r="Q39" s="19" t="s">
        <v>81</v>
      </c>
      <c r="R39" s="19" t="s">
        <v>64</v>
      </c>
    </row>
    <row r="40" spans="2:18" ht="18" customHeight="1" thickBot="1" x14ac:dyDescent="0.4">
      <c r="B40" s="98" t="str">
        <f>IF(C2="Винтовая решетка РВО","* Стандартное исполнение - с пефорированным ситом, щелевое сито по запросу.","* Тип фильтрующей поверхности - см. описание решетки.")</f>
        <v>* Тип фильтрующей поверхности - см. описание решетки.</v>
      </c>
      <c r="C40" s="17"/>
      <c r="D40" s="16"/>
      <c r="E40" s="17"/>
      <c r="F40" s="17"/>
      <c r="J40" s="11" t="s">
        <v>4</v>
      </c>
      <c r="K40" s="8" t="s">
        <v>86</v>
      </c>
      <c r="L40" s="8"/>
      <c r="M40" s="2"/>
      <c r="N40" s="8" t="s">
        <v>33</v>
      </c>
      <c r="O40" s="8"/>
      <c r="Q40" s="10" t="s">
        <v>79</v>
      </c>
      <c r="R40" s="10" t="s">
        <v>68</v>
      </c>
    </row>
    <row r="41" spans="2:18" ht="15" customHeight="1" thickBot="1" x14ac:dyDescent="0.3">
      <c r="B41" s="3" t="str">
        <f>IF(OR(C2="Винтовая решетка РВО", C2="Винтовая решетка с вращающейся граблиной РВОБ1",C2="Винтовая решетка с вращающейся корзиной РВОБ2"),"** Стандартное исполнение - со шнеками из износостойкой конструкционной стали.","** См. описание решетки.")</f>
        <v>** См. описание решетки.</v>
      </c>
      <c r="C41" s="17"/>
      <c r="D41" s="16"/>
      <c r="E41" s="17"/>
      <c r="F41" s="17"/>
      <c r="J41" s="11"/>
      <c r="K41" s="8" t="s">
        <v>5</v>
      </c>
      <c r="L41" s="8"/>
      <c r="M41" s="2"/>
      <c r="N41" s="8" t="s">
        <v>34</v>
      </c>
      <c r="O41" s="8"/>
      <c r="Q41" s="13" t="s">
        <v>80</v>
      </c>
      <c r="R41" s="13" t="s">
        <v>57</v>
      </c>
    </row>
    <row r="42" spans="2:18" ht="15" customHeight="1" thickBot="1" x14ac:dyDescent="0.3">
      <c r="B42" s="100" t="str">
        <f>IF(AND(D36="Наружное",OR(C2="Решетка ротационная РБР", C2="Щеточная решетка РМБЩ",C2="Барабанная решетка РМБТП",C2="Грабельная решетка РКЭ",C2="Грабельная решетка РМКЭ")),"*** Стандартно данный тип решетки не используется для наружной установки при температуре ниже +5 ºC. За дополнительной информацией обращайтесь в Ekoton.","-")</f>
        <v>-</v>
      </c>
      <c r="C42" s="20"/>
      <c r="D42" s="38"/>
      <c r="E42" s="20"/>
      <c r="F42" s="20"/>
      <c r="J42" s="11"/>
      <c r="K42" s="8" t="s">
        <v>6</v>
      </c>
      <c r="L42" s="8" t="s">
        <v>68</v>
      </c>
      <c r="M42" s="2"/>
      <c r="N42" s="8" t="s">
        <v>49</v>
      </c>
      <c r="O42" s="8"/>
      <c r="Q42" s="12" t="s">
        <v>81</v>
      </c>
      <c r="R42" s="12" t="s">
        <v>57</v>
      </c>
    </row>
    <row r="43" spans="2:18" ht="15" customHeight="1" thickBot="1" x14ac:dyDescent="0.4">
      <c r="B43" s="38" t="s">
        <v>273</v>
      </c>
      <c r="C43" s="20"/>
      <c r="D43" s="38"/>
      <c r="E43" s="20"/>
      <c r="F43" s="20"/>
      <c r="J43" s="11" t="s">
        <v>7</v>
      </c>
      <c r="K43" s="8" t="s">
        <v>104</v>
      </c>
      <c r="L43" s="8" t="s">
        <v>116</v>
      </c>
      <c r="M43" s="2"/>
      <c r="N43" s="8" t="s">
        <v>50</v>
      </c>
      <c r="O43" s="8" t="s">
        <v>51</v>
      </c>
      <c r="Q43" s="10" t="s">
        <v>79</v>
      </c>
      <c r="R43" s="10" t="s">
        <v>68</v>
      </c>
    </row>
    <row r="44" spans="2:18" ht="15" customHeight="1" thickBot="1" x14ac:dyDescent="0.3">
      <c r="B44" s="21"/>
      <c r="C44" s="20"/>
      <c r="D44" s="38"/>
      <c r="F44" s="20"/>
      <c r="J44" s="11"/>
      <c r="K44" s="8" t="s">
        <v>103</v>
      </c>
      <c r="L44" s="8" t="s">
        <v>68</v>
      </c>
      <c r="M44" s="2"/>
      <c r="N44" s="8"/>
      <c r="O44" s="8" t="s">
        <v>52</v>
      </c>
      <c r="Q44" s="13" t="s">
        <v>80</v>
      </c>
      <c r="R44" s="13" t="s">
        <v>65</v>
      </c>
    </row>
    <row r="45" spans="2:18" ht="15" customHeight="1" thickBot="1" x14ac:dyDescent="0.3">
      <c r="B45" s="38"/>
      <c r="C45" s="20"/>
      <c r="D45" s="20"/>
      <c r="E45" s="20"/>
      <c r="F45" s="20"/>
      <c r="J45" s="11" t="s">
        <v>32</v>
      </c>
      <c r="K45" s="8" t="s">
        <v>105</v>
      </c>
      <c r="L45" s="8"/>
      <c r="M45" s="2"/>
      <c r="N45" s="8"/>
      <c r="O45" s="8" t="s">
        <v>69</v>
      </c>
      <c r="Q45" s="12" t="s">
        <v>81</v>
      </c>
      <c r="R45" s="12" t="s">
        <v>65</v>
      </c>
    </row>
    <row r="46" spans="2:18" ht="15" customHeight="1" thickBot="1" x14ac:dyDescent="0.3">
      <c r="B46" s="37"/>
      <c r="C46" s="20"/>
      <c r="D46" s="22"/>
      <c r="E46" s="20"/>
      <c r="F46" s="20"/>
      <c r="J46" s="8"/>
      <c r="K46" s="8" t="s">
        <v>106</v>
      </c>
      <c r="L46" s="8"/>
      <c r="M46" s="2"/>
      <c r="N46" s="8" t="s">
        <v>32</v>
      </c>
      <c r="O46" s="8" t="s">
        <v>62</v>
      </c>
      <c r="Q46" s="10" t="s">
        <v>79</v>
      </c>
      <c r="R46" s="10" t="s">
        <v>68</v>
      </c>
    </row>
    <row r="47" spans="2:18" ht="15" customHeight="1" thickBot="1" x14ac:dyDescent="0.3">
      <c r="B47" s="37"/>
      <c r="C47" s="20"/>
      <c r="D47" s="38"/>
      <c r="E47" s="20"/>
      <c r="F47" s="20"/>
      <c r="J47" s="8" t="s">
        <v>8</v>
      </c>
      <c r="K47" s="8"/>
      <c r="L47" s="8"/>
      <c r="M47" s="2"/>
      <c r="N47" s="8"/>
      <c r="O47" s="8" t="s">
        <v>23</v>
      </c>
      <c r="Q47" s="13" t="s">
        <v>80</v>
      </c>
      <c r="R47" s="13" t="s">
        <v>70</v>
      </c>
    </row>
    <row r="48" spans="2:18" ht="15" customHeight="1" thickBot="1" x14ac:dyDescent="0.3">
      <c r="B48" s="37"/>
      <c r="C48" s="20"/>
      <c r="D48" s="38"/>
      <c r="F48" s="23"/>
      <c r="J48" s="8" t="s">
        <v>72</v>
      </c>
      <c r="K48" s="8"/>
      <c r="L48" s="8"/>
      <c r="M48" s="2"/>
      <c r="N48" s="24" t="s">
        <v>53</v>
      </c>
      <c r="O48" s="24"/>
      <c r="Q48" s="12" t="s">
        <v>81</v>
      </c>
      <c r="R48" s="12" t="s">
        <v>70</v>
      </c>
    </row>
    <row r="49" spans="2:18" ht="15" customHeight="1" thickBot="1" x14ac:dyDescent="0.3">
      <c r="B49" s="20"/>
      <c r="C49" s="20"/>
      <c r="D49" s="20"/>
      <c r="F49" s="23"/>
      <c r="J49" s="11" t="s">
        <v>9</v>
      </c>
      <c r="K49" s="8" t="s">
        <v>10</v>
      </c>
      <c r="L49" s="8"/>
      <c r="M49" s="2"/>
      <c r="N49" s="8" t="s">
        <v>20</v>
      </c>
      <c r="O49" s="8" t="s">
        <v>22</v>
      </c>
      <c r="Q49" s="10" t="s">
        <v>79</v>
      </c>
      <c r="R49" s="10" t="s">
        <v>68</v>
      </c>
    </row>
    <row r="50" spans="2:18" ht="15" customHeight="1" thickBot="1" x14ac:dyDescent="0.3">
      <c r="B50" s="37"/>
      <c r="C50" s="20"/>
      <c r="D50" s="20"/>
      <c r="E50" s="20"/>
      <c r="F50" s="20"/>
      <c r="J50" s="11"/>
      <c r="K50" s="8" t="s">
        <v>11</v>
      </c>
      <c r="L50" s="8"/>
      <c r="M50" s="2"/>
      <c r="N50" s="8"/>
      <c r="O50" s="8" t="s">
        <v>23</v>
      </c>
      <c r="Q50" s="13" t="s">
        <v>80</v>
      </c>
      <c r="R50" s="13" t="s">
        <v>30</v>
      </c>
    </row>
    <row r="51" spans="2:18" ht="15" customHeight="1" thickBot="1" x14ac:dyDescent="0.3">
      <c r="B51" s="37"/>
      <c r="C51" s="20"/>
      <c r="D51" s="38"/>
      <c r="E51" s="20"/>
      <c r="F51" s="20"/>
      <c r="J51" s="11"/>
      <c r="K51" s="8" t="s">
        <v>12</v>
      </c>
      <c r="L51" s="8"/>
      <c r="M51" s="2"/>
      <c r="N51" s="8" t="s">
        <v>54</v>
      </c>
      <c r="O51" s="8"/>
      <c r="Q51" s="12" t="s">
        <v>81</v>
      </c>
      <c r="R51" s="12" t="s">
        <v>30</v>
      </c>
    </row>
    <row r="52" spans="2:18" ht="15" customHeight="1" thickBot="1" x14ac:dyDescent="0.3">
      <c r="B52" s="20"/>
      <c r="C52" s="20"/>
      <c r="D52" s="20"/>
      <c r="E52" s="20"/>
      <c r="F52" s="20"/>
      <c r="J52" s="11" t="s">
        <v>35</v>
      </c>
      <c r="K52" s="8" t="s">
        <v>66</v>
      </c>
      <c r="L52" s="8"/>
      <c r="M52" s="2"/>
      <c r="N52" s="24" t="s">
        <v>25</v>
      </c>
      <c r="O52" s="8"/>
    </row>
    <row r="53" spans="2:18" ht="15" customHeight="1" thickBot="1" x14ac:dyDescent="0.25">
      <c r="J53" s="11"/>
      <c r="K53" s="8" t="s">
        <v>67</v>
      </c>
      <c r="L53" s="8"/>
      <c r="M53" s="2"/>
      <c r="N53" s="8" t="s">
        <v>55</v>
      </c>
      <c r="O53" s="8"/>
    </row>
    <row r="54" spans="2:18" ht="15" customHeight="1" thickBot="1" x14ac:dyDescent="0.25">
      <c r="J54" s="11"/>
      <c r="K54" s="8"/>
      <c r="L54" s="8"/>
      <c r="M54" s="2"/>
      <c r="N54" s="8" t="s">
        <v>56</v>
      </c>
      <c r="O54" s="8"/>
    </row>
    <row r="55" spans="2:18" ht="15" customHeight="1" thickBot="1" x14ac:dyDescent="0.25">
      <c r="J55" s="11"/>
      <c r="K55" s="8"/>
      <c r="L55" s="8"/>
      <c r="M55" s="2"/>
      <c r="N55" s="8" t="s">
        <v>57</v>
      </c>
      <c r="O55" s="8" t="s">
        <v>58</v>
      </c>
    </row>
    <row r="56" spans="2:18" ht="15" customHeight="1" thickBot="1" x14ac:dyDescent="0.25">
      <c r="J56" s="8" t="s">
        <v>13</v>
      </c>
      <c r="K56" s="8" t="s">
        <v>14</v>
      </c>
      <c r="L56" s="8"/>
      <c r="M56" s="2"/>
      <c r="N56" s="8"/>
      <c r="O56" s="8" t="s">
        <v>59</v>
      </c>
    </row>
    <row r="57" spans="2:18" ht="15" customHeight="1" thickBot="1" x14ac:dyDescent="0.25">
      <c r="J57" s="8"/>
      <c r="K57" s="8" t="s">
        <v>15</v>
      </c>
      <c r="L57" s="8"/>
      <c r="M57" s="2"/>
      <c r="N57" s="8" t="s">
        <v>60</v>
      </c>
      <c r="O57" s="8"/>
    </row>
    <row r="58" spans="2:18" ht="15" thickBot="1" x14ac:dyDescent="0.25">
      <c r="B58" s="37"/>
      <c r="D58" s="38"/>
      <c r="J58" s="8"/>
      <c r="K58" s="8" t="s">
        <v>16</v>
      </c>
      <c r="L58" s="8"/>
      <c r="M58" s="2"/>
      <c r="N58" s="8" t="s">
        <v>61</v>
      </c>
      <c r="O58" s="8"/>
    </row>
    <row r="59" spans="2:18" ht="15" thickBot="1" x14ac:dyDescent="0.25">
      <c r="J59" s="8"/>
      <c r="K59" s="8" t="s">
        <v>17</v>
      </c>
      <c r="L59" s="8"/>
      <c r="M59" s="2"/>
      <c r="N59" s="8" t="s">
        <v>30</v>
      </c>
      <c r="O59" s="8" t="s">
        <v>22</v>
      </c>
    </row>
    <row r="60" spans="2:18" ht="15" thickBot="1" x14ac:dyDescent="0.25">
      <c r="D60" s="145"/>
      <c r="E60" s="145"/>
      <c r="F60" s="38"/>
      <c r="J60" s="8"/>
      <c r="K60" s="8" t="s">
        <v>110</v>
      </c>
      <c r="L60" s="8"/>
      <c r="M60" s="2"/>
      <c r="N60" s="8"/>
      <c r="O60" s="8"/>
    </row>
    <row r="61" spans="2:18" ht="15" customHeight="1" thickBot="1" x14ac:dyDescent="0.25">
      <c r="D61" s="145"/>
      <c r="E61" s="145"/>
      <c r="F61" s="37"/>
      <c r="J61" s="8"/>
      <c r="K61" s="8"/>
      <c r="L61" s="8"/>
      <c r="M61" s="2"/>
      <c r="N61" s="8"/>
      <c r="O61" s="8"/>
    </row>
    <row r="62" spans="2:18" ht="15" thickBot="1" x14ac:dyDescent="0.25">
      <c r="F62" s="37"/>
      <c r="J62" s="8"/>
      <c r="K62" s="8"/>
      <c r="L62" s="8"/>
      <c r="M62" s="2"/>
      <c r="N62" s="8"/>
      <c r="O62" s="8"/>
    </row>
    <row r="63" spans="2:18" ht="15" customHeight="1" thickBot="1" x14ac:dyDescent="0.25">
      <c r="D63" s="146"/>
      <c r="E63" s="145"/>
      <c r="F63" s="145"/>
      <c r="J63" s="8"/>
      <c r="K63" s="8"/>
      <c r="L63" s="8"/>
      <c r="M63" s="2"/>
      <c r="N63" s="8"/>
      <c r="O63" s="8" t="s">
        <v>23</v>
      </c>
    </row>
    <row r="64" spans="2:18" ht="15" customHeight="1" thickBot="1" x14ac:dyDescent="0.25">
      <c r="D64" s="147"/>
      <c r="E64" s="145"/>
      <c r="F64" s="38"/>
      <c r="J64" s="8" t="s">
        <v>18</v>
      </c>
      <c r="K64" s="8" t="s">
        <v>19</v>
      </c>
      <c r="L64" s="8"/>
      <c r="M64" s="2"/>
      <c r="N64" s="25"/>
      <c r="O64" s="25"/>
    </row>
    <row r="65" spans="4:15" ht="15.75" customHeight="1" thickBot="1" x14ac:dyDescent="0.25">
      <c r="D65" s="147"/>
      <c r="E65" s="145"/>
      <c r="F65" s="38"/>
      <c r="J65" s="8" t="s">
        <v>20</v>
      </c>
      <c r="K65" s="8" t="s">
        <v>21</v>
      </c>
      <c r="L65" s="8" t="s">
        <v>22</v>
      </c>
      <c r="M65" s="2" t="s">
        <v>24</v>
      </c>
      <c r="N65" s="8" t="s">
        <v>22</v>
      </c>
      <c r="O65" s="2" t="s">
        <v>87</v>
      </c>
    </row>
    <row r="66" spans="4:15" ht="15" customHeight="1" thickBot="1" x14ac:dyDescent="0.25">
      <c r="J66" s="8"/>
      <c r="K66" s="8"/>
      <c r="L66" s="8" t="s">
        <v>23</v>
      </c>
      <c r="M66" s="2" t="s">
        <v>68</v>
      </c>
      <c r="N66" s="8" t="s">
        <v>23</v>
      </c>
      <c r="O66" s="2" t="s">
        <v>68</v>
      </c>
    </row>
    <row r="67" spans="4:15" ht="15" customHeight="1" thickBot="1" x14ac:dyDescent="0.25">
      <c r="J67" s="26" t="s">
        <v>24</v>
      </c>
      <c r="K67" s="8" t="s">
        <v>88</v>
      </c>
      <c r="L67" s="8"/>
      <c r="M67" s="2"/>
      <c r="N67" s="8"/>
      <c r="O67" s="2"/>
    </row>
    <row r="68" spans="4:15" ht="15" customHeight="1" thickBot="1" x14ac:dyDescent="0.25">
      <c r="J68" s="8" t="s">
        <v>68</v>
      </c>
      <c r="K68" s="8"/>
      <c r="L68" s="8"/>
      <c r="M68" s="2"/>
      <c r="N68" s="2"/>
      <c r="O68" s="2"/>
    </row>
    <row r="69" spans="4:15" ht="15" customHeight="1" thickBot="1" x14ac:dyDescent="0.25">
      <c r="J69" s="8" t="s">
        <v>25</v>
      </c>
      <c r="K69" s="8" t="s">
        <v>26</v>
      </c>
      <c r="L69" s="8"/>
      <c r="M69" s="2"/>
      <c r="N69" s="2"/>
      <c r="O69" s="2"/>
    </row>
    <row r="70" spans="4:15" ht="15" customHeight="1" thickBot="1" x14ac:dyDescent="0.25">
      <c r="J70" s="8"/>
      <c r="K70" s="8" t="s">
        <v>111</v>
      </c>
      <c r="L70" s="8"/>
      <c r="M70" s="2"/>
      <c r="N70" s="2"/>
      <c r="O70" s="2"/>
    </row>
    <row r="71" spans="4:15" ht="15" customHeight="1" thickBot="1" x14ac:dyDescent="0.25">
      <c r="J71" s="8"/>
      <c r="K71" s="8" t="s">
        <v>27</v>
      </c>
      <c r="L71" s="8"/>
      <c r="M71" s="2"/>
      <c r="N71" s="2"/>
      <c r="O71" s="2"/>
    </row>
    <row r="72" spans="4:15" ht="15" customHeight="1" thickBot="1" x14ac:dyDescent="0.25">
      <c r="J72" s="8"/>
      <c r="K72" s="8" t="s">
        <v>28</v>
      </c>
      <c r="L72" s="8"/>
      <c r="M72" s="2"/>
      <c r="N72" s="2"/>
      <c r="O72" s="2"/>
    </row>
    <row r="73" spans="4:15" ht="15" customHeight="1" thickBot="1" x14ac:dyDescent="0.25">
      <c r="J73" s="8"/>
      <c r="K73" s="8" t="s">
        <v>29</v>
      </c>
      <c r="L73" s="8"/>
      <c r="M73" s="2"/>
      <c r="N73" s="2"/>
      <c r="O73" s="2"/>
    </row>
    <row r="74" spans="4:15" ht="15" customHeight="1" thickBot="1" x14ac:dyDescent="0.25">
      <c r="J74" s="8" t="s">
        <v>30</v>
      </c>
      <c r="K74" s="8" t="s">
        <v>22</v>
      </c>
      <c r="L74" s="8" t="s">
        <v>84</v>
      </c>
      <c r="M74" s="2"/>
      <c r="N74" s="2"/>
      <c r="O74" s="2"/>
    </row>
    <row r="75" spans="4:15" ht="15" customHeight="1" thickBot="1" x14ac:dyDescent="0.25">
      <c r="J75" s="8"/>
      <c r="K75" s="8" t="s">
        <v>23</v>
      </c>
      <c r="L75" s="8" t="s">
        <v>68</v>
      </c>
      <c r="M75" s="2"/>
      <c r="N75" s="2"/>
      <c r="O75" s="2"/>
    </row>
    <row r="76" spans="4:15" ht="15" thickBot="1" x14ac:dyDescent="0.25">
      <c r="J76" s="8"/>
      <c r="K76" s="8" t="s">
        <v>22</v>
      </c>
      <c r="L76" s="8" t="s">
        <v>85</v>
      </c>
      <c r="M76" s="2"/>
      <c r="N76" s="2"/>
      <c r="O76" s="2"/>
    </row>
    <row r="77" spans="4:15" ht="15" customHeight="1" thickBot="1" x14ac:dyDescent="0.25">
      <c r="J77" s="8"/>
      <c r="K77" s="8" t="s">
        <v>23</v>
      </c>
      <c r="L77" s="8" t="s">
        <v>68</v>
      </c>
      <c r="M77" s="2"/>
      <c r="N77" s="2"/>
      <c r="O77" s="2"/>
    </row>
    <row r="78" spans="4:15" ht="15" customHeight="1" thickBot="1" x14ac:dyDescent="0.25">
      <c r="J78" s="8" t="s">
        <v>31</v>
      </c>
      <c r="K78" s="8"/>
      <c r="L78" s="8"/>
      <c r="M78" s="2"/>
      <c r="N78" s="2"/>
      <c r="O78" s="2"/>
    </row>
    <row r="79" spans="4:15" ht="14.25" customHeight="1" x14ac:dyDescent="0.2"/>
    <row r="80" spans="4:15" ht="14.25" customHeight="1" x14ac:dyDescent="0.2"/>
    <row r="81" ht="15" customHeight="1" x14ac:dyDescent="0.2"/>
    <row r="82" x14ac:dyDescent="0.2"/>
    <row r="83" x14ac:dyDescent="0.2"/>
    <row r="84" x14ac:dyDescent="0.2"/>
    <row r="85" ht="14.25" customHeight="1" x14ac:dyDescent="0.2"/>
    <row r="86" x14ac:dyDescent="0.2"/>
    <row r="87" x14ac:dyDescent="0.2"/>
    <row r="88" ht="15" customHeight="1" x14ac:dyDescent="0.2"/>
    <row r="89" ht="15" customHeight="1" x14ac:dyDescent="0.2"/>
    <row r="90" x14ac:dyDescent="0.2"/>
    <row r="91" ht="15" customHeight="1" x14ac:dyDescent="0.2"/>
    <row r="92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5" customHeight="1" x14ac:dyDescent="0.2"/>
    <row r="98" x14ac:dyDescent="0.2"/>
    <row r="99" x14ac:dyDescent="0.2"/>
    <row r="100" x14ac:dyDescent="0.2"/>
    <row r="101" ht="14.25" customHeight="1" x14ac:dyDescent="0.2"/>
    <row r="102" x14ac:dyDescent="0.2"/>
    <row r="103" x14ac:dyDescent="0.2"/>
    <row r="104" x14ac:dyDescent="0.2"/>
    <row r="105" x14ac:dyDescent="0.2"/>
    <row r="106" x14ac:dyDescent="0.2"/>
    <row r="107" ht="15" customHeight="1" x14ac:dyDescent="0.2"/>
    <row r="108" x14ac:dyDescent="0.2"/>
    <row r="109" x14ac:dyDescent="0.2"/>
    <row r="110" x14ac:dyDescent="0.2"/>
    <row r="111" x14ac:dyDescent="0.2"/>
    <row r="112" ht="14.25" customHeight="1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ht="14.25" customHeight="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ht="14.25" customHeight="1" x14ac:dyDescent="0.2"/>
    <row r="129" x14ac:dyDescent="0.2"/>
    <row r="130" x14ac:dyDescent="0.2"/>
    <row r="131" x14ac:dyDescent="0.2"/>
    <row r="132" x14ac:dyDescent="0.2"/>
    <row r="133" ht="14.25" customHeight="1" x14ac:dyDescent="0.2"/>
    <row r="134" ht="15" customHeight="1" x14ac:dyDescent="0.2"/>
    <row r="135" x14ac:dyDescent="0.2"/>
    <row r="136" ht="15" customHeight="1" x14ac:dyDescent="0.2"/>
    <row r="137" ht="15" customHeight="1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ht="15" customHeight="1" x14ac:dyDescent="0.2"/>
    <row r="152" ht="14.25" customHeight="1" x14ac:dyDescent="0.2"/>
    <row r="153" ht="14.25" customHeight="1" x14ac:dyDescent="0.2"/>
    <row r="154" x14ac:dyDescent="0.2"/>
    <row r="155" x14ac:dyDescent="0.2"/>
    <row r="156" x14ac:dyDescent="0.2"/>
    <row r="157" x14ac:dyDescent="0.2"/>
  </sheetData>
  <mergeCells count="48">
    <mergeCell ref="B8:F8"/>
    <mergeCell ref="B3:F3"/>
    <mergeCell ref="E4:F4"/>
    <mergeCell ref="E5:F5"/>
    <mergeCell ref="E6:F6"/>
    <mergeCell ref="E7:F7"/>
    <mergeCell ref="B9:C10"/>
    <mergeCell ref="D9:D10"/>
    <mergeCell ref="B11:B14"/>
    <mergeCell ref="B15:B17"/>
    <mergeCell ref="D15:F15"/>
    <mergeCell ref="D16:F16"/>
    <mergeCell ref="D17:F17"/>
    <mergeCell ref="B18:B20"/>
    <mergeCell ref="B21:C21"/>
    <mergeCell ref="E21:F21"/>
    <mergeCell ref="B23:C23"/>
    <mergeCell ref="D23:F23"/>
    <mergeCell ref="E18:E20"/>
    <mergeCell ref="B22:C22"/>
    <mergeCell ref="E22:F22"/>
    <mergeCell ref="B33:B34"/>
    <mergeCell ref="D33:F33"/>
    <mergeCell ref="D34:F34"/>
    <mergeCell ref="B24:C24"/>
    <mergeCell ref="D24:F24"/>
    <mergeCell ref="B25:C25"/>
    <mergeCell ref="D25:F25"/>
    <mergeCell ref="B27:C27"/>
    <mergeCell ref="D27:F27"/>
    <mergeCell ref="B30:C30"/>
    <mergeCell ref="B31:F31"/>
    <mergeCell ref="B32:C32"/>
    <mergeCell ref="D32:F32"/>
    <mergeCell ref="B28:C28"/>
    <mergeCell ref="B26:C26"/>
    <mergeCell ref="B29:C29"/>
    <mergeCell ref="B35:F35"/>
    <mergeCell ref="B36:C36"/>
    <mergeCell ref="B37:C37"/>
    <mergeCell ref="D37:F37"/>
    <mergeCell ref="B38:C39"/>
    <mergeCell ref="D38:F39"/>
    <mergeCell ref="D60:E60"/>
    <mergeCell ref="D61:E61"/>
    <mergeCell ref="D63:F63"/>
    <mergeCell ref="D64:E64"/>
    <mergeCell ref="D65:E65"/>
  </mergeCells>
  <dataValidations disablePrompts="1" count="8">
    <dataValidation type="list" allowBlank="1" showInputMessage="1" showErrorMessage="1" sqref="H3" xr:uid="{00000000-0002-0000-0200-000000000000}">
      <formula1>"RUS, ENG, US ENG, POL"</formula1>
    </dataValidation>
    <dataValidation allowBlank="1" showErrorMessage="1" prompt="Please note that our dewatering equipment is not designed to be used at a temperature below 0 C." sqref="D36" xr:uid="{00000000-0002-0000-0200-000001000000}"/>
    <dataValidation allowBlank="1" showErrorMessage="1" prompt="Please indicate Cl- concentration if it is higher than 300 mg/l." sqref="D9:D14" xr:uid="{00000000-0002-0000-0200-000002000000}"/>
    <dataValidation allowBlank="1" showInputMessage="1" showErrorMessage="1" prompt="Please note that by default screws are made of wear-resistant carbon steel." sqref="D30" xr:uid="{00000000-0002-0000-0200-000003000000}"/>
    <dataValidation type="list" allowBlank="1" showInputMessage="1" showErrorMessage="1" sqref="D44" xr:uid="{00000000-0002-0000-0200-000004000000}">
      <formula1>Material</formula1>
    </dataValidation>
    <dataValidation type="list" allowBlank="1" showInputMessage="1" showErrorMessage="1" sqref="F64 D46 D48 D42:D43" xr:uid="{00000000-0002-0000-0200-000005000000}">
      <formula1>Yes_No</formula1>
    </dataValidation>
    <dataValidation type="list" allowBlank="1" showInputMessage="1" showErrorMessage="1" sqref="D47" xr:uid="{00000000-0002-0000-0200-000006000000}">
      <formula1>Motor_reductor</formula1>
    </dataValidation>
    <dataValidation allowBlank="1" showErrorMessage="1" sqref="D21:D22" xr:uid="{00000000-0002-0000-0200-000007000000}"/>
  </dataValidation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R157"/>
  <sheetViews>
    <sheetView topLeftCell="A9" zoomScale="85" zoomScaleNormal="85" workbookViewId="0">
      <selection activeCell="F18" sqref="F18"/>
    </sheetView>
  </sheetViews>
  <sheetFormatPr defaultColWidth="0.85546875" defaultRowHeight="14.25" zeroHeight="1" x14ac:dyDescent="0.2"/>
  <cols>
    <col min="1" max="1" width="2" style="2" customWidth="1"/>
    <col min="2" max="2" width="23.7109375" style="3" customWidth="1"/>
    <col min="3" max="3" width="36" style="3" customWidth="1"/>
    <col min="4" max="4" width="21" style="3" customWidth="1"/>
    <col min="5" max="5" width="27" style="3" customWidth="1"/>
    <col min="6" max="6" width="57.28515625" style="3" customWidth="1"/>
    <col min="7" max="7" width="16.85546875" style="2" customWidth="1"/>
    <col min="8" max="8" width="23.7109375" style="2" customWidth="1"/>
    <col min="9" max="9" width="20.7109375" style="2" customWidth="1"/>
    <col min="10" max="23" width="20.7109375" style="3" customWidth="1"/>
    <col min="24" max="16384" width="0.85546875" style="3"/>
  </cols>
  <sheetData>
    <row r="2" spans="2:15" ht="15.75" thickBot="1" x14ac:dyDescent="0.3">
      <c r="B2" s="4" t="s">
        <v>195</v>
      </c>
      <c r="C2" s="3" t="str">
        <f>Screens!C1</f>
        <v>Барабанная решетка РМБТП</v>
      </c>
      <c r="J2" s="3" t="s">
        <v>0</v>
      </c>
    </row>
    <row r="3" spans="2:15" ht="15" thickBot="1" x14ac:dyDescent="0.25">
      <c r="B3" s="211" t="s">
        <v>194</v>
      </c>
      <c r="C3" s="212"/>
      <c r="D3" s="212"/>
      <c r="E3" s="212"/>
      <c r="F3" s="213"/>
      <c r="H3" s="2" t="s">
        <v>129</v>
      </c>
      <c r="I3" s="3" t="s">
        <v>215</v>
      </c>
      <c r="J3" s="8" t="s">
        <v>196</v>
      </c>
      <c r="K3" s="3" t="s">
        <v>14</v>
      </c>
    </row>
    <row r="4" spans="2:15" ht="15" thickBot="1" x14ac:dyDescent="0.25">
      <c r="B4" s="54" t="s">
        <v>118</v>
      </c>
      <c r="C4" s="55"/>
      <c r="D4" s="56" t="s">
        <v>124</v>
      </c>
      <c r="E4" s="214"/>
      <c r="F4" s="215"/>
      <c r="H4" s="91" t="s">
        <v>270</v>
      </c>
      <c r="I4" s="3" t="s">
        <v>169</v>
      </c>
      <c r="J4" s="11" t="s">
        <v>197</v>
      </c>
      <c r="K4" s="3" t="s">
        <v>15</v>
      </c>
    </row>
    <row r="5" spans="2:15" x14ac:dyDescent="0.2">
      <c r="B5" s="54" t="s">
        <v>125</v>
      </c>
      <c r="C5" s="55"/>
      <c r="D5" s="56" t="s">
        <v>126</v>
      </c>
      <c r="E5" s="214"/>
      <c r="F5" s="215"/>
      <c r="H5" s="92" t="s">
        <v>271</v>
      </c>
      <c r="I5" s="3" t="s">
        <v>170</v>
      </c>
      <c r="K5" s="3" t="s">
        <v>16</v>
      </c>
    </row>
    <row r="6" spans="2:15" x14ac:dyDescent="0.2">
      <c r="B6" s="54" t="s">
        <v>119</v>
      </c>
      <c r="C6" s="55"/>
      <c r="D6" s="56" t="s">
        <v>127</v>
      </c>
      <c r="E6" s="214"/>
      <c r="F6" s="215"/>
      <c r="I6" s="3" t="s">
        <v>171</v>
      </c>
      <c r="J6" s="3" t="s">
        <v>104</v>
      </c>
      <c r="K6" s="3" t="s">
        <v>17</v>
      </c>
    </row>
    <row r="7" spans="2:15" ht="15" thickBot="1" x14ac:dyDescent="0.25">
      <c r="B7" s="57" t="s">
        <v>120</v>
      </c>
      <c r="C7" s="58"/>
      <c r="D7" s="59" t="s">
        <v>128</v>
      </c>
      <c r="E7" s="216"/>
      <c r="F7" s="217"/>
      <c r="I7" s="3" t="s">
        <v>172</v>
      </c>
      <c r="J7" s="3" t="s">
        <v>103</v>
      </c>
      <c r="K7" s="3" t="s">
        <v>110</v>
      </c>
    </row>
    <row r="8" spans="2:15" ht="15" thickBot="1" x14ac:dyDescent="0.25">
      <c r="B8" s="208" t="s">
        <v>117</v>
      </c>
      <c r="C8" s="209"/>
      <c r="D8" s="209"/>
      <c r="E8" s="209"/>
      <c r="F8" s="210"/>
      <c r="H8" s="3"/>
      <c r="I8" s="3" t="s">
        <v>173</v>
      </c>
    </row>
    <row r="9" spans="2:15" ht="17.25" customHeight="1" x14ac:dyDescent="0.2">
      <c r="B9" s="218" t="s">
        <v>90</v>
      </c>
      <c r="C9" s="219"/>
      <c r="D9" s="222">
        <f>Screens!D8</f>
        <v>0</v>
      </c>
      <c r="E9" s="60" t="str">
        <f>IF(D9="Municipal","Mixed with….","Type of industry")</f>
        <v>Type of industry</v>
      </c>
      <c r="F9" s="61"/>
      <c r="H9" s="3"/>
      <c r="I9" s="3" t="s">
        <v>174</v>
      </c>
      <c r="J9" s="3" t="s">
        <v>105</v>
      </c>
      <c r="K9" s="3" t="s">
        <v>101</v>
      </c>
    </row>
    <row r="10" spans="2:15" ht="60" customHeight="1" thickBot="1" x14ac:dyDescent="0.3">
      <c r="B10" s="220"/>
      <c r="C10" s="221"/>
      <c r="D10" s="223"/>
      <c r="E10" s="39" t="str">
        <f>IF(D9="Municipal","% of each mixed type","Specify wastewater sources")</f>
        <v>Specify wastewater sources</v>
      </c>
      <c r="F10" s="40"/>
      <c r="H10" s="3"/>
      <c r="I10" s="3" t="s">
        <v>175</v>
      </c>
      <c r="J10" s="4" t="s">
        <v>106</v>
      </c>
      <c r="K10" s="2" t="s">
        <v>102</v>
      </c>
      <c r="L10" s="2"/>
      <c r="M10" s="2"/>
      <c r="N10" s="4" t="s">
        <v>36</v>
      </c>
      <c r="O10" s="2"/>
    </row>
    <row r="11" spans="2:15" ht="45" customHeight="1" x14ac:dyDescent="0.25">
      <c r="B11" s="224" t="s">
        <v>109</v>
      </c>
      <c r="C11" s="36" t="s">
        <v>115</v>
      </c>
      <c r="D11" s="33"/>
      <c r="E11" s="33"/>
      <c r="F11" s="34"/>
      <c r="H11" s="3"/>
      <c r="I11" s="3" t="s">
        <v>176</v>
      </c>
      <c r="J11" s="4" t="s">
        <v>190</v>
      </c>
      <c r="K11" s="2" t="s">
        <v>191</v>
      </c>
      <c r="L11" s="2"/>
      <c r="M11" s="2"/>
      <c r="N11" s="4"/>
      <c r="O11" s="2"/>
    </row>
    <row r="12" spans="2:15" ht="15" customHeight="1" x14ac:dyDescent="0.25">
      <c r="B12" s="225"/>
      <c r="C12" s="27" t="s">
        <v>201</v>
      </c>
      <c r="D12" s="28"/>
      <c r="E12" s="28"/>
      <c r="F12" s="1"/>
      <c r="H12" s="3"/>
      <c r="I12" s="3" t="s">
        <v>177</v>
      </c>
      <c r="J12" s="4" t="s">
        <v>266</v>
      </c>
      <c r="K12" s="2" t="s">
        <v>192</v>
      </c>
      <c r="L12" s="2"/>
      <c r="M12" s="2"/>
      <c r="N12" s="4"/>
      <c r="O12" s="2"/>
    </row>
    <row r="13" spans="2:15" ht="15" customHeight="1" x14ac:dyDescent="0.25">
      <c r="B13" s="225"/>
      <c r="C13" s="27" t="s">
        <v>202</v>
      </c>
      <c r="D13" s="28"/>
      <c r="E13" s="28"/>
      <c r="F13" s="1"/>
      <c r="H13" s="3"/>
      <c r="I13" s="2" t="s">
        <v>189</v>
      </c>
      <c r="J13" s="4"/>
      <c r="K13" s="2" t="s">
        <v>193</v>
      </c>
      <c r="L13" s="2"/>
      <c r="M13" s="2"/>
      <c r="N13" s="4"/>
      <c r="O13" s="2"/>
    </row>
    <row r="14" spans="2:15" ht="15" customHeight="1" thickBot="1" x14ac:dyDescent="0.3">
      <c r="B14" s="226"/>
      <c r="C14" s="35" t="str">
        <f>IF(D9="Municipal","-","Floating substances (FOG), ppm")</f>
        <v>Floating substances (FOG), ppm</v>
      </c>
      <c r="D14" s="47"/>
      <c r="E14" s="47"/>
      <c r="F14" s="48"/>
      <c r="J14" s="4"/>
      <c r="K14" s="2"/>
      <c r="L14" s="2"/>
      <c r="M14" s="2"/>
      <c r="N14" s="4"/>
      <c r="O14" s="2"/>
    </row>
    <row r="15" spans="2:15" ht="15" customHeight="1" x14ac:dyDescent="0.25">
      <c r="B15" s="224" t="s">
        <v>207</v>
      </c>
      <c r="C15" s="42" t="s">
        <v>112</v>
      </c>
      <c r="D15" s="228"/>
      <c r="E15" s="229"/>
      <c r="F15" s="230"/>
      <c r="J15" s="4"/>
      <c r="K15" s="2"/>
      <c r="L15" s="2"/>
      <c r="M15" s="2"/>
      <c r="N15" s="4"/>
      <c r="O15" s="2"/>
    </row>
    <row r="16" spans="2:15" ht="15" customHeight="1" thickBot="1" x14ac:dyDescent="0.3">
      <c r="B16" s="225"/>
      <c r="C16" s="43" t="s">
        <v>113</v>
      </c>
      <c r="D16" s="231"/>
      <c r="E16" s="232"/>
      <c r="F16" s="233"/>
      <c r="J16" s="4"/>
      <c r="K16" s="2"/>
      <c r="L16" s="2"/>
      <c r="M16" s="2"/>
      <c r="N16" s="4"/>
      <c r="O16" s="2"/>
    </row>
    <row r="17" spans="2:18" ht="15" customHeight="1" thickBot="1" x14ac:dyDescent="0.3">
      <c r="B17" s="227"/>
      <c r="C17" s="43" t="s">
        <v>206</v>
      </c>
      <c r="D17" s="231"/>
      <c r="E17" s="232"/>
      <c r="F17" s="233"/>
      <c r="J17" s="8" t="s">
        <v>105</v>
      </c>
      <c r="K17" s="8"/>
      <c r="L17" s="8" t="s">
        <v>68</v>
      </c>
      <c r="M17" s="2"/>
      <c r="N17" s="8" t="s">
        <v>37</v>
      </c>
      <c r="O17" s="8" t="s">
        <v>2</v>
      </c>
      <c r="Q17" s="9" t="s">
        <v>73</v>
      </c>
      <c r="R17" s="10" t="s">
        <v>74</v>
      </c>
    </row>
    <row r="18" spans="2:18" ht="15" customHeight="1" thickBot="1" x14ac:dyDescent="0.3">
      <c r="B18" s="234" t="str">
        <f>IF(D21="By pressure", "Flow rate (to all screens), gpm", "Flow rate (to all screens), gpm")</f>
        <v>Flow rate (to all screens), gpm</v>
      </c>
      <c r="C18" s="44" t="s">
        <v>94</v>
      </c>
      <c r="D18" s="51"/>
      <c r="E18" s="237" t="str">
        <f>IF(AND(D21="By gravity",D22="In channel"),"Downstream water level for correspoding flow rate, mm", "-")</f>
        <v>-</v>
      </c>
      <c r="F18" s="102" t="str">
        <f>IF(D21="By pressure", "(Note: By pumping station capacity!!!)", " ")</f>
        <v xml:space="preserve"> </v>
      </c>
      <c r="J18" s="8" t="s">
        <v>106</v>
      </c>
      <c r="K18" s="11"/>
      <c r="L18" s="11"/>
      <c r="M18" s="2"/>
      <c r="N18" s="8"/>
      <c r="O18" s="8" t="s">
        <v>38</v>
      </c>
      <c r="Q18" s="12"/>
      <c r="R18" s="12" t="s">
        <v>89</v>
      </c>
    </row>
    <row r="19" spans="2:18" ht="15" customHeight="1" thickBot="1" x14ac:dyDescent="0.3">
      <c r="B19" s="235"/>
      <c r="C19" s="46" t="s">
        <v>95</v>
      </c>
      <c r="D19" s="51"/>
      <c r="E19" s="238"/>
      <c r="F19" s="52"/>
      <c r="J19" s="8"/>
      <c r="K19" s="8"/>
      <c r="L19" s="8"/>
      <c r="M19" s="2"/>
      <c r="N19" s="8"/>
      <c r="O19" s="8" t="s">
        <v>3</v>
      </c>
      <c r="Q19" s="10" t="s">
        <v>79</v>
      </c>
      <c r="R19" s="10" t="s">
        <v>68</v>
      </c>
    </row>
    <row r="20" spans="2:18" ht="24" customHeight="1" thickBot="1" x14ac:dyDescent="0.25">
      <c r="B20" s="236"/>
      <c r="C20" s="45" t="s">
        <v>96</v>
      </c>
      <c r="D20" s="73"/>
      <c r="E20" s="239"/>
      <c r="F20" s="72"/>
      <c r="J20" s="8"/>
      <c r="K20" s="8"/>
      <c r="L20" s="8"/>
      <c r="M20" s="2"/>
      <c r="N20" s="8"/>
      <c r="O20" s="8"/>
      <c r="Q20" s="13" t="s">
        <v>80</v>
      </c>
      <c r="R20" s="13" t="s">
        <v>82</v>
      </c>
    </row>
    <row r="21" spans="2:18" ht="15" customHeight="1" thickBot="1" x14ac:dyDescent="0.3">
      <c r="B21" s="240" t="s">
        <v>97</v>
      </c>
      <c r="C21" s="241"/>
      <c r="D21" s="49">
        <f>Screens!D20</f>
        <v>0</v>
      </c>
      <c r="E21" s="242" t="str">
        <f>IF(D21="By pressure","Note: excess pressure shall not exceed 40 in H2O", "-")</f>
        <v>-</v>
      </c>
      <c r="F21" s="243"/>
      <c r="J21" s="8"/>
      <c r="K21" s="8"/>
      <c r="L21" s="8"/>
      <c r="M21" s="2"/>
      <c r="N21" s="8"/>
      <c r="O21" s="8"/>
      <c r="Q21" s="14"/>
      <c r="R21" s="14"/>
    </row>
    <row r="22" spans="2:18" ht="15" customHeight="1" thickBot="1" x14ac:dyDescent="0.3">
      <c r="B22" s="240" t="s">
        <v>198</v>
      </c>
      <c r="C22" s="297"/>
      <c r="D22" s="49">
        <f>Screens!D21</f>
        <v>0</v>
      </c>
      <c r="E22" s="302" t="str">
        <f>IF(AND(D22="In channel",OR(C2="Rotary drum screen RDS", C2="Brush drum screen RMB Sh",C2="Drum screen with triangle profile RMB TP")),"This type of screen can not be installed in the channel!","-")</f>
        <v>-</v>
      </c>
      <c r="F22" s="303"/>
      <c r="J22" s="8"/>
      <c r="K22" s="8"/>
      <c r="L22" s="8"/>
      <c r="M22" s="2"/>
      <c r="N22" s="8"/>
      <c r="O22" s="8"/>
      <c r="Q22" s="14"/>
      <c r="R22" s="14"/>
    </row>
    <row r="23" spans="2:18" ht="15" customHeight="1" thickBot="1" x14ac:dyDescent="0.25">
      <c r="B23" s="244" t="s">
        <v>211</v>
      </c>
      <c r="C23" s="245"/>
      <c r="D23" s="246"/>
      <c r="E23" s="247"/>
      <c r="F23" s="248"/>
      <c r="J23" s="8" t="s">
        <v>0</v>
      </c>
      <c r="K23" s="8" t="s">
        <v>99</v>
      </c>
      <c r="L23" s="8" t="s">
        <v>115</v>
      </c>
      <c r="M23" s="2"/>
      <c r="N23" s="8"/>
      <c r="O23" s="8"/>
      <c r="Q23" s="12" t="s">
        <v>81</v>
      </c>
      <c r="R23" s="12" t="s">
        <v>83</v>
      </c>
    </row>
    <row r="24" spans="2:18" ht="15" customHeight="1" thickBot="1" x14ac:dyDescent="0.25">
      <c r="B24" s="253" t="s">
        <v>199</v>
      </c>
      <c r="C24" s="254"/>
      <c r="D24" s="255">
        <f>Screens!D23</f>
        <v>0</v>
      </c>
      <c r="E24" s="256"/>
      <c r="F24" s="257"/>
      <c r="J24" s="8"/>
      <c r="K24" s="11" t="s">
        <v>100</v>
      </c>
      <c r="L24" s="11" t="s">
        <v>108</v>
      </c>
      <c r="M24" s="2"/>
      <c r="N24" s="8"/>
      <c r="O24" s="8" t="s">
        <v>39</v>
      </c>
      <c r="Q24" s="10" t="s">
        <v>76</v>
      </c>
      <c r="R24" s="10" t="s">
        <v>77</v>
      </c>
    </row>
    <row r="25" spans="2:18" ht="15" customHeight="1" thickBot="1" x14ac:dyDescent="0.25">
      <c r="B25" s="253" t="str">
        <f>IF(D22="In channel","Discharge height from the channel bottom, in","-")</f>
        <v>-</v>
      </c>
      <c r="C25" s="254"/>
      <c r="D25" s="258"/>
      <c r="E25" s="259"/>
      <c r="F25" s="260"/>
      <c r="J25" s="8"/>
      <c r="K25" s="11"/>
      <c r="L25" s="11"/>
      <c r="M25" s="2"/>
      <c r="N25" s="8"/>
      <c r="O25" s="8"/>
      <c r="Q25" s="15"/>
      <c r="R25" s="15"/>
    </row>
    <row r="26" spans="2:18" ht="15" customHeight="1" thickBot="1" x14ac:dyDescent="0.3">
      <c r="B26" s="262" t="str">
        <f>IF(D22="In channel","Discharge height from the top of the channel, in","Discharge height from the floor, in")</f>
        <v>Discharge height from the floor, in</v>
      </c>
      <c r="C26" s="263"/>
      <c r="D26" s="258"/>
      <c r="E26" s="304"/>
      <c r="F26" s="305"/>
      <c r="J26" s="8"/>
      <c r="K26" s="11"/>
      <c r="L26" s="11"/>
      <c r="M26" s="2"/>
      <c r="N26" s="8"/>
      <c r="O26" s="8"/>
      <c r="Q26" s="15"/>
      <c r="R26" s="15"/>
    </row>
    <row r="27" spans="2:18" ht="15" customHeight="1" thickBot="1" x14ac:dyDescent="0.3">
      <c r="B27" s="253" t="str">
        <f>IF(D22="In channel", "Channel height, in", "Pipe diameter, in")</f>
        <v>Pipe diameter, in</v>
      </c>
      <c r="C27" s="261"/>
      <c r="D27" s="258"/>
      <c r="E27" s="232"/>
      <c r="F27" s="233"/>
      <c r="J27" s="8"/>
      <c r="K27" s="8" t="s">
        <v>99</v>
      </c>
      <c r="L27" s="11" t="s">
        <v>109</v>
      </c>
      <c r="M27" s="2"/>
      <c r="N27" s="8" t="s">
        <v>40</v>
      </c>
      <c r="O27" s="8" t="s">
        <v>2</v>
      </c>
      <c r="Q27" s="12"/>
      <c r="R27" s="12" t="s">
        <v>78</v>
      </c>
    </row>
    <row r="28" spans="2:18" ht="15" customHeight="1" thickBot="1" x14ac:dyDescent="0.3">
      <c r="B28" s="253" t="str">
        <f>IF(D22="In channel", "Channel width, in", "-")</f>
        <v>-</v>
      </c>
      <c r="C28" s="261"/>
      <c r="D28" s="258"/>
      <c r="E28" s="304"/>
      <c r="F28" s="305"/>
      <c r="J28" s="8"/>
      <c r="K28" s="11" t="s">
        <v>100</v>
      </c>
      <c r="L28" s="11" t="s">
        <v>109</v>
      </c>
      <c r="M28" s="2"/>
      <c r="N28" s="8"/>
      <c r="O28" s="8" t="s">
        <v>41</v>
      </c>
      <c r="Q28" s="10" t="s">
        <v>79</v>
      </c>
      <c r="R28" s="10" t="s">
        <v>75</v>
      </c>
    </row>
    <row r="29" spans="2:18" ht="15" customHeight="1" thickBot="1" x14ac:dyDescent="0.3">
      <c r="B29" s="253" t="s">
        <v>212</v>
      </c>
      <c r="C29" s="297"/>
      <c r="D29" s="258"/>
      <c r="E29" s="304"/>
      <c r="F29" s="305"/>
      <c r="J29" s="8" t="s">
        <v>1</v>
      </c>
      <c r="K29" s="8" t="s">
        <v>102</v>
      </c>
      <c r="L29" s="8" t="s">
        <v>68</v>
      </c>
      <c r="M29" s="2"/>
      <c r="N29" s="8"/>
      <c r="O29" s="8" t="s">
        <v>42</v>
      </c>
      <c r="Q29" s="13" t="s">
        <v>80</v>
      </c>
      <c r="R29" s="13" t="s">
        <v>68</v>
      </c>
    </row>
    <row r="30" spans="2:18" ht="15" customHeight="1" thickBot="1" x14ac:dyDescent="0.3">
      <c r="B30" s="269" t="s">
        <v>200</v>
      </c>
      <c r="C30" s="270"/>
      <c r="D30" s="80">
        <f>Screens!D29</f>
        <v>0</v>
      </c>
      <c r="E30" s="81"/>
      <c r="F30" s="82"/>
      <c r="J30" s="8"/>
      <c r="K30" s="8" t="s">
        <v>101</v>
      </c>
      <c r="L30" s="8" t="s">
        <v>92</v>
      </c>
      <c r="M30" s="2"/>
      <c r="N30" s="8"/>
      <c r="O30" s="8"/>
      <c r="Q30" s="14"/>
      <c r="R30" s="14"/>
    </row>
    <row r="31" spans="2:18" ht="45.75" customHeight="1" thickBot="1" x14ac:dyDescent="0.3">
      <c r="B31" s="271" t="s">
        <v>114</v>
      </c>
      <c r="C31" s="272"/>
      <c r="D31" s="273"/>
      <c r="E31" s="273"/>
      <c r="F31" s="221"/>
      <c r="J31" s="8"/>
      <c r="K31" s="8" t="s">
        <v>102</v>
      </c>
      <c r="L31" s="8" t="s">
        <v>68</v>
      </c>
      <c r="M31" s="2"/>
      <c r="N31" s="8"/>
      <c r="O31" s="8" t="s">
        <v>39</v>
      </c>
      <c r="Q31" s="12" t="s">
        <v>81</v>
      </c>
      <c r="R31" s="12" t="s">
        <v>75</v>
      </c>
    </row>
    <row r="32" spans="2:18" ht="15" customHeight="1" thickBot="1" x14ac:dyDescent="0.3">
      <c r="B32" s="274" t="s">
        <v>98</v>
      </c>
      <c r="C32" s="275"/>
      <c r="D32" s="276"/>
      <c r="E32" s="277"/>
      <c r="F32" s="278"/>
      <c r="J32" s="8"/>
      <c r="K32" s="8" t="s">
        <v>101</v>
      </c>
      <c r="L32" s="8" t="s">
        <v>93</v>
      </c>
      <c r="M32" s="2"/>
      <c r="N32" s="8" t="s">
        <v>43</v>
      </c>
      <c r="O32" s="8" t="s">
        <v>44</v>
      </c>
      <c r="Q32" s="10" t="s">
        <v>79</v>
      </c>
      <c r="R32" s="10" t="s">
        <v>68</v>
      </c>
    </row>
    <row r="33" spans="2:18" ht="26.25" customHeight="1" thickBot="1" x14ac:dyDescent="0.3">
      <c r="B33" s="234" t="s">
        <v>209</v>
      </c>
      <c r="C33" s="7" t="s">
        <v>123</v>
      </c>
      <c r="D33" s="279"/>
      <c r="E33" s="280"/>
      <c r="F33" s="243"/>
      <c r="J33" s="8"/>
      <c r="K33" s="8"/>
      <c r="L33" s="8"/>
      <c r="M33" s="2"/>
      <c r="N33" s="8"/>
      <c r="O33" s="8"/>
      <c r="Q33" s="29"/>
      <c r="R33" s="29"/>
    </row>
    <row r="34" spans="2:18" ht="43.5" customHeight="1" thickBot="1" x14ac:dyDescent="0.3">
      <c r="B34" s="235"/>
      <c r="C34" s="32" t="s">
        <v>213</v>
      </c>
      <c r="D34" s="281"/>
      <c r="E34" s="282"/>
      <c r="F34" s="283"/>
      <c r="J34" s="8"/>
      <c r="K34" s="8"/>
      <c r="L34" s="8"/>
      <c r="M34" s="2"/>
      <c r="N34" s="8"/>
      <c r="O34" s="8"/>
      <c r="Q34" s="29"/>
      <c r="R34" s="29"/>
    </row>
    <row r="35" spans="2:18" ht="18" customHeight="1" thickBot="1" x14ac:dyDescent="0.25">
      <c r="B35" s="284" t="s">
        <v>274</v>
      </c>
      <c r="C35" s="285"/>
      <c r="D35" s="285"/>
      <c r="E35" s="285"/>
      <c r="F35" s="286"/>
      <c r="J35" s="8"/>
      <c r="K35" s="8"/>
      <c r="L35" s="8"/>
      <c r="M35" s="2"/>
      <c r="N35" s="8"/>
      <c r="O35" s="8"/>
      <c r="Q35" s="29"/>
      <c r="R35" s="29"/>
    </row>
    <row r="36" spans="2:18" ht="42" customHeight="1" thickBot="1" x14ac:dyDescent="0.25">
      <c r="B36" s="287" t="s">
        <v>91</v>
      </c>
      <c r="C36" s="288"/>
      <c r="D36" s="30">
        <f>Screens!D35</f>
        <v>0</v>
      </c>
      <c r="E36" s="96" t="str">
        <f>IF(D36="Outdoor","Minimum ambient temperature, ºF ***","-")</f>
        <v>-</v>
      </c>
      <c r="F36" s="97"/>
      <c r="J36" s="8"/>
      <c r="K36" s="8"/>
      <c r="L36" s="8"/>
      <c r="M36" s="2"/>
      <c r="N36" s="8" t="s">
        <v>45</v>
      </c>
      <c r="O36" s="8" t="s">
        <v>46</v>
      </c>
      <c r="Q36" s="12" t="s">
        <v>81</v>
      </c>
      <c r="R36" s="12" t="s">
        <v>63</v>
      </c>
    </row>
    <row r="37" spans="2:18" ht="16.5" customHeight="1" thickBot="1" x14ac:dyDescent="0.25">
      <c r="B37" s="264" t="str">
        <f>IF(D36="Indoor", "Dimensions of building (L*W*H), m", "-")</f>
        <v>-</v>
      </c>
      <c r="C37" s="265"/>
      <c r="D37" s="266"/>
      <c r="E37" s="267"/>
      <c r="F37" s="268"/>
      <c r="J37" s="8"/>
      <c r="K37" s="8"/>
      <c r="L37" s="8"/>
      <c r="M37" s="2"/>
      <c r="N37" s="8" t="s">
        <v>47</v>
      </c>
      <c r="O37" s="8"/>
      <c r="Q37" s="10" t="s">
        <v>79</v>
      </c>
      <c r="R37" s="10" t="s">
        <v>68</v>
      </c>
    </row>
    <row r="38" spans="2:18" s="2" customFormat="1" ht="15" customHeight="1" thickBot="1" x14ac:dyDescent="0.25">
      <c r="B38" s="289" t="s">
        <v>107</v>
      </c>
      <c r="C38" s="290"/>
      <c r="D38" s="291"/>
      <c r="E38" s="292"/>
      <c r="F38" s="293"/>
      <c r="J38" s="8"/>
      <c r="K38" s="8"/>
      <c r="L38" s="8"/>
      <c r="N38" s="8" t="s">
        <v>71</v>
      </c>
      <c r="O38" s="8"/>
      <c r="Q38" s="18" t="s">
        <v>80</v>
      </c>
      <c r="R38" s="18" t="s">
        <v>64</v>
      </c>
    </row>
    <row r="39" spans="2:18" s="2" customFormat="1" ht="20.25" customHeight="1" thickBot="1" x14ac:dyDescent="0.25">
      <c r="B39" s="220"/>
      <c r="C39" s="221"/>
      <c r="D39" s="294"/>
      <c r="E39" s="295"/>
      <c r="F39" s="296"/>
      <c r="J39" s="8"/>
      <c r="K39" s="8"/>
      <c r="L39" s="8"/>
      <c r="N39" s="8" t="s">
        <v>48</v>
      </c>
      <c r="O39" s="8"/>
      <c r="Q39" s="19" t="s">
        <v>81</v>
      </c>
      <c r="R39" s="19" t="s">
        <v>64</v>
      </c>
    </row>
    <row r="40" spans="2:18" ht="15" customHeight="1" thickBot="1" x14ac:dyDescent="0.4">
      <c r="B40" s="98" t="str">
        <f>IF(C2="Screw screen RVO","* Standard version - perforated plate basket, wedge wire basket available upon request.","* Type of the filtering zone - see the description of the screen.")</f>
        <v>* Type of the filtering zone - see the description of the screen.</v>
      </c>
      <c r="C40" s="17"/>
      <c r="D40" s="16"/>
      <c r="E40" s="17"/>
      <c r="F40" s="17"/>
      <c r="J40" s="11" t="s">
        <v>4</v>
      </c>
      <c r="K40" s="8" t="s">
        <v>86</v>
      </c>
      <c r="L40" s="8"/>
      <c r="M40" s="2"/>
      <c r="N40" s="8" t="s">
        <v>33</v>
      </c>
      <c r="O40" s="8"/>
      <c r="Q40" s="10" t="s">
        <v>79</v>
      </c>
      <c r="R40" s="10" t="s">
        <v>68</v>
      </c>
    </row>
    <row r="41" spans="2:18" ht="15" customHeight="1" thickBot="1" x14ac:dyDescent="0.3">
      <c r="B41" s="3" t="str">
        <f>IF(OR(C2="Screw screen RVO", C2="Screw drum screen with rotating rake RVO B1",C2="Screw drum screen with rotating drum RVO B2"),"** Standard version - screws made of wear-resistant carbon steel.","** See the description of the screen.")</f>
        <v>** See the description of the screen.</v>
      </c>
      <c r="C41" s="17"/>
      <c r="D41" s="16"/>
      <c r="E41" s="17"/>
      <c r="F41" s="17"/>
      <c r="J41" s="11"/>
      <c r="K41" s="8" t="s">
        <v>5</v>
      </c>
      <c r="L41" s="8"/>
      <c r="M41" s="2"/>
      <c r="N41" s="8" t="s">
        <v>34</v>
      </c>
      <c r="O41" s="8"/>
      <c r="Q41" s="13" t="s">
        <v>80</v>
      </c>
      <c r="R41" s="13" t="s">
        <v>57</v>
      </c>
    </row>
    <row r="42" spans="2:18" ht="15" customHeight="1" thickBot="1" x14ac:dyDescent="0.3">
      <c r="B42" s="100" t="str">
        <f>IF(AND(D36="Outdoor",OR(C2="Rotary drum screen RDS", C2="Brush drum screen RMB Sh",C2="Drum screen with triangle profile RMB TP",C2="Rake bar screen RKE",C2="Rake bar screen RMKE")),"*** Standard version of this type of screen is not suitable for outdoor installation at temperature below 41 ºF. For further information please contact EKOTON.","-")</f>
        <v>-</v>
      </c>
      <c r="C42" s="20"/>
      <c r="D42" s="38"/>
      <c r="E42" s="20"/>
      <c r="F42" s="20"/>
      <c r="J42" s="11"/>
      <c r="K42" s="8" t="s">
        <v>6</v>
      </c>
      <c r="L42" s="8" t="s">
        <v>68</v>
      </c>
      <c r="M42" s="2"/>
      <c r="N42" s="8" t="s">
        <v>49</v>
      </c>
      <c r="O42" s="8"/>
      <c r="Q42" s="12" t="s">
        <v>81</v>
      </c>
      <c r="R42" s="12" t="s">
        <v>57</v>
      </c>
    </row>
    <row r="43" spans="2:18" ht="15" customHeight="1" thickBot="1" x14ac:dyDescent="0.4">
      <c r="B43" s="38" t="s">
        <v>277</v>
      </c>
      <c r="C43" s="20"/>
      <c r="D43" s="38"/>
      <c r="E43" s="20"/>
      <c r="F43" s="20"/>
      <c r="J43" s="11" t="s">
        <v>7</v>
      </c>
      <c r="K43" s="8" t="s">
        <v>104</v>
      </c>
      <c r="L43" s="8" t="s">
        <v>116</v>
      </c>
      <c r="M43" s="2"/>
      <c r="N43" s="8" t="s">
        <v>50</v>
      </c>
      <c r="O43" s="8" t="s">
        <v>51</v>
      </c>
      <c r="Q43" s="10" t="s">
        <v>79</v>
      </c>
      <c r="R43" s="10" t="s">
        <v>68</v>
      </c>
    </row>
    <row r="44" spans="2:18" ht="15" customHeight="1" thickBot="1" x14ac:dyDescent="0.3">
      <c r="B44" s="21"/>
      <c r="C44" s="20"/>
      <c r="D44" s="38"/>
      <c r="F44" s="20"/>
      <c r="J44" s="11"/>
      <c r="K44" s="8" t="s">
        <v>103</v>
      </c>
      <c r="L44" s="8" t="s">
        <v>68</v>
      </c>
      <c r="M44" s="2"/>
      <c r="N44" s="8"/>
      <c r="O44" s="8" t="s">
        <v>52</v>
      </c>
      <c r="Q44" s="13" t="s">
        <v>80</v>
      </c>
      <c r="R44" s="13" t="s">
        <v>65</v>
      </c>
    </row>
    <row r="45" spans="2:18" ht="15" customHeight="1" thickBot="1" x14ac:dyDescent="0.3">
      <c r="B45" s="38"/>
      <c r="C45" s="20"/>
      <c r="D45" s="20"/>
      <c r="E45" s="20"/>
      <c r="F45" s="20"/>
      <c r="J45" s="11" t="s">
        <v>32</v>
      </c>
      <c r="K45" s="8" t="s">
        <v>105</v>
      </c>
      <c r="L45" s="8"/>
      <c r="M45" s="2"/>
      <c r="N45" s="8"/>
      <c r="O45" s="8" t="s">
        <v>69</v>
      </c>
      <c r="Q45" s="12" t="s">
        <v>81</v>
      </c>
      <c r="R45" s="12" t="s">
        <v>65</v>
      </c>
    </row>
    <row r="46" spans="2:18" ht="15" customHeight="1" thickBot="1" x14ac:dyDescent="0.3">
      <c r="B46" s="37"/>
      <c r="C46" s="20"/>
      <c r="D46" s="22"/>
      <c r="E46" s="20"/>
      <c r="F46" s="20"/>
      <c r="J46" s="8"/>
      <c r="K46" s="8" t="s">
        <v>106</v>
      </c>
      <c r="L46" s="8"/>
      <c r="M46" s="2"/>
      <c r="N46" s="8" t="s">
        <v>32</v>
      </c>
      <c r="O46" s="8" t="s">
        <v>62</v>
      </c>
      <c r="Q46" s="10" t="s">
        <v>79</v>
      </c>
      <c r="R46" s="10" t="s">
        <v>68</v>
      </c>
    </row>
    <row r="47" spans="2:18" ht="15" customHeight="1" thickBot="1" x14ac:dyDescent="0.3">
      <c r="B47" s="37"/>
      <c r="C47" s="20"/>
      <c r="D47" s="38"/>
      <c r="E47" s="20"/>
      <c r="F47" s="20"/>
      <c r="J47" s="8" t="s">
        <v>8</v>
      </c>
      <c r="K47" s="8"/>
      <c r="L47" s="8"/>
      <c r="M47" s="2"/>
      <c r="N47" s="8"/>
      <c r="O47" s="8" t="s">
        <v>23</v>
      </c>
      <c r="Q47" s="13" t="s">
        <v>80</v>
      </c>
      <c r="R47" s="13" t="s">
        <v>70</v>
      </c>
    </row>
    <row r="48" spans="2:18" ht="15" customHeight="1" thickBot="1" x14ac:dyDescent="0.3">
      <c r="B48" s="37"/>
      <c r="C48" s="20"/>
      <c r="D48" s="38"/>
      <c r="F48" s="23"/>
      <c r="J48" s="8" t="s">
        <v>72</v>
      </c>
      <c r="K48" s="8"/>
      <c r="L48" s="8"/>
      <c r="M48" s="2"/>
      <c r="N48" s="24" t="s">
        <v>53</v>
      </c>
      <c r="O48" s="24"/>
      <c r="Q48" s="12" t="s">
        <v>81</v>
      </c>
      <c r="R48" s="12" t="s">
        <v>70</v>
      </c>
    </row>
    <row r="49" spans="2:18" ht="15" customHeight="1" thickBot="1" x14ac:dyDescent="0.3">
      <c r="B49" s="20"/>
      <c r="C49" s="20"/>
      <c r="D49" s="20"/>
      <c r="F49" s="23"/>
      <c r="J49" s="11" t="s">
        <v>9</v>
      </c>
      <c r="K49" s="8" t="s">
        <v>10</v>
      </c>
      <c r="L49" s="8"/>
      <c r="M49" s="2"/>
      <c r="N49" s="8" t="s">
        <v>20</v>
      </c>
      <c r="O49" s="8" t="s">
        <v>22</v>
      </c>
      <c r="Q49" s="10" t="s">
        <v>79</v>
      </c>
      <c r="R49" s="10" t="s">
        <v>68</v>
      </c>
    </row>
    <row r="50" spans="2:18" ht="15" customHeight="1" thickBot="1" x14ac:dyDescent="0.3">
      <c r="B50" s="37"/>
      <c r="C50" s="20"/>
      <c r="D50" s="20"/>
      <c r="E50" s="20"/>
      <c r="F50" s="20"/>
      <c r="J50" s="11"/>
      <c r="K50" s="8" t="s">
        <v>11</v>
      </c>
      <c r="L50" s="8"/>
      <c r="M50" s="2"/>
      <c r="N50" s="8"/>
      <c r="O50" s="8" t="s">
        <v>23</v>
      </c>
      <c r="Q50" s="13" t="s">
        <v>80</v>
      </c>
      <c r="R50" s="13" t="s">
        <v>30</v>
      </c>
    </row>
    <row r="51" spans="2:18" ht="15" customHeight="1" thickBot="1" x14ac:dyDescent="0.3">
      <c r="B51" s="37"/>
      <c r="C51" s="20"/>
      <c r="D51" s="38"/>
      <c r="E51" s="20"/>
      <c r="F51" s="20"/>
      <c r="J51" s="11"/>
      <c r="K51" s="8" t="s">
        <v>12</v>
      </c>
      <c r="L51" s="8"/>
      <c r="M51" s="2"/>
      <c r="N51" s="8" t="s">
        <v>54</v>
      </c>
      <c r="O51" s="8"/>
      <c r="Q51" s="12" t="s">
        <v>81</v>
      </c>
      <c r="R51" s="12" t="s">
        <v>30</v>
      </c>
    </row>
    <row r="52" spans="2:18" ht="15" customHeight="1" thickBot="1" x14ac:dyDescent="0.3">
      <c r="B52" s="20"/>
      <c r="C52" s="20"/>
      <c r="D52" s="20"/>
      <c r="E52" s="20"/>
      <c r="F52" s="20"/>
      <c r="J52" s="11" t="s">
        <v>35</v>
      </c>
      <c r="K52" s="8" t="s">
        <v>66</v>
      </c>
      <c r="L52" s="8"/>
      <c r="M52" s="2"/>
      <c r="N52" s="24" t="s">
        <v>25</v>
      </c>
      <c r="O52" s="8"/>
    </row>
    <row r="53" spans="2:18" ht="15" customHeight="1" thickBot="1" x14ac:dyDescent="0.25">
      <c r="J53" s="11"/>
      <c r="K53" s="8" t="s">
        <v>67</v>
      </c>
      <c r="L53" s="8"/>
      <c r="M53" s="2"/>
      <c r="N53" s="8" t="s">
        <v>55</v>
      </c>
      <c r="O53" s="8"/>
    </row>
    <row r="54" spans="2:18" ht="15" customHeight="1" thickBot="1" x14ac:dyDescent="0.25">
      <c r="J54" s="11"/>
      <c r="K54" s="8"/>
      <c r="L54" s="8"/>
      <c r="M54" s="2"/>
      <c r="N54" s="8" t="s">
        <v>56</v>
      </c>
      <c r="O54" s="8"/>
    </row>
    <row r="55" spans="2:18" ht="15" customHeight="1" thickBot="1" x14ac:dyDescent="0.25">
      <c r="J55" s="11"/>
      <c r="K55" s="8"/>
      <c r="L55" s="8"/>
      <c r="M55" s="2"/>
      <c r="N55" s="8" t="s">
        <v>57</v>
      </c>
      <c r="O55" s="8" t="s">
        <v>58</v>
      </c>
    </row>
    <row r="56" spans="2:18" ht="15" customHeight="1" thickBot="1" x14ac:dyDescent="0.25">
      <c r="J56" s="8" t="s">
        <v>13</v>
      </c>
      <c r="K56" s="8" t="s">
        <v>14</v>
      </c>
      <c r="L56" s="8"/>
      <c r="M56" s="2"/>
      <c r="N56" s="8"/>
      <c r="O56" s="8" t="s">
        <v>59</v>
      </c>
    </row>
    <row r="57" spans="2:18" ht="15" customHeight="1" thickBot="1" x14ac:dyDescent="0.25">
      <c r="J57" s="8"/>
      <c r="K57" s="8" t="s">
        <v>15</v>
      </c>
      <c r="L57" s="8"/>
      <c r="M57" s="2"/>
      <c r="N57" s="8" t="s">
        <v>60</v>
      </c>
      <c r="O57" s="8"/>
    </row>
    <row r="58" spans="2:18" ht="15" thickBot="1" x14ac:dyDescent="0.25">
      <c r="B58" s="37"/>
      <c r="D58" s="38"/>
      <c r="J58" s="8"/>
      <c r="K58" s="8" t="s">
        <v>16</v>
      </c>
      <c r="L58" s="8"/>
      <c r="M58" s="2"/>
      <c r="N58" s="8" t="s">
        <v>61</v>
      </c>
      <c r="O58" s="8"/>
    </row>
    <row r="59" spans="2:18" ht="15" thickBot="1" x14ac:dyDescent="0.25">
      <c r="J59" s="8"/>
      <c r="K59" s="8" t="s">
        <v>17</v>
      </c>
      <c r="L59" s="8"/>
      <c r="M59" s="2"/>
      <c r="N59" s="8" t="s">
        <v>30</v>
      </c>
      <c r="O59" s="8" t="s">
        <v>22</v>
      </c>
    </row>
    <row r="60" spans="2:18" ht="15" thickBot="1" x14ac:dyDescent="0.25">
      <c r="D60" s="145"/>
      <c r="E60" s="145"/>
      <c r="F60" s="38"/>
      <c r="J60" s="8"/>
      <c r="K60" s="8" t="s">
        <v>110</v>
      </c>
      <c r="L60" s="8"/>
      <c r="M60" s="2"/>
      <c r="N60" s="8"/>
      <c r="O60" s="8"/>
    </row>
    <row r="61" spans="2:18" ht="15" customHeight="1" thickBot="1" x14ac:dyDescent="0.25">
      <c r="D61" s="145"/>
      <c r="E61" s="145"/>
      <c r="F61" s="37"/>
      <c r="J61" s="8"/>
      <c r="K61" s="8"/>
      <c r="L61" s="8"/>
      <c r="M61" s="2"/>
      <c r="N61" s="8"/>
      <c r="O61" s="8"/>
    </row>
    <row r="62" spans="2:18" ht="15" thickBot="1" x14ac:dyDescent="0.25">
      <c r="F62" s="37"/>
      <c r="J62" s="8"/>
      <c r="K62" s="8"/>
      <c r="L62" s="8"/>
      <c r="M62" s="2"/>
      <c r="N62" s="8"/>
      <c r="O62" s="8"/>
    </row>
    <row r="63" spans="2:18" ht="15" customHeight="1" thickBot="1" x14ac:dyDescent="0.25">
      <c r="D63" s="146"/>
      <c r="E63" s="145"/>
      <c r="F63" s="145"/>
      <c r="J63" s="8"/>
      <c r="K63" s="8"/>
      <c r="L63" s="8"/>
      <c r="M63" s="2"/>
      <c r="N63" s="8"/>
      <c r="O63" s="8" t="s">
        <v>23</v>
      </c>
    </row>
    <row r="64" spans="2:18" ht="15" customHeight="1" thickBot="1" x14ac:dyDescent="0.25">
      <c r="D64" s="147"/>
      <c r="E64" s="145"/>
      <c r="F64" s="38"/>
      <c r="J64" s="8" t="s">
        <v>18</v>
      </c>
      <c r="K64" s="8" t="s">
        <v>19</v>
      </c>
      <c r="L64" s="8"/>
      <c r="M64" s="2"/>
      <c r="N64" s="25"/>
      <c r="O64" s="25"/>
    </row>
    <row r="65" spans="4:15" ht="15.75" customHeight="1" thickBot="1" x14ac:dyDescent="0.25">
      <c r="D65" s="147"/>
      <c r="E65" s="145"/>
      <c r="F65" s="38"/>
      <c r="J65" s="8" t="s">
        <v>20</v>
      </c>
      <c r="K65" s="8" t="s">
        <v>21</v>
      </c>
      <c r="L65" s="8" t="s">
        <v>22</v>
      </c>
      <c r="M65" s="2" t="s">
        <v>24</v>
      </c>
      <c r="N65" s="8" t="s">
        <v>22</v>
      </c>
      <c r="O65" s="2" t="s">
        <v>87</v>
      </c>
    </row>
    <row r="66" spans="4:15" ht="15" customHeight="1" thickBot="1" x14ac:dyDescent="0.25">
      <c r="J66" s="8"/>
      <c r="K66" s="8"/>
      <c r="L66" s="8" t="s">
        <v>23</v>
      </c>
      <c r="M66" s="2" t="s">
        <v>68</v>
      </c>
      <c r="N66" s="8" t="s">
        <v>23</v>
      </c>
      <c r="O66" s="2" t="s">
        <v>68</v>
      </c>
    </row>
    <row r="67" spans="4:15" ht="15" customHeight="1" thickBot="1" x14ac:dyDescent="0.25">
      <c r="J67" s="26" t="s">
        <v>24</v>
      </c>
      <c r="K67" s="8" t="s">
        <v>88</v>
      </c>
      <c r="L67" s="8"/>
      <c r="M67" s="2"/>
      <c r="N67" s="8"/>
      <c r="O67" s="2"/>
    </row>
    <row r="68" spans="4:15" ht="15" customHeight="1" thickBot="1" x14ac:dyDescent="0.25">
      <c r="J68" s="8" t="s">
        <v>68</v>
      </c>
      <c r="K68" s="8"/>
      <c r="L68" s="8"/>
      <c r="M68" s="2"/>
      <c r="N68" s="2"/>
      <c r="O68" s="2"/>
    </row>
    <row r="69" spans="4:15" ht="15" customHeight="1" thickBot="1" x14ac:dyDescent="0.25">
      <c r="J69" s="8" t="s">
        <v>25</v>
      </c>
      <c r="K69" s="8" t="s">
        <v>26</v>
      </c>
      <c r="L69" s="8"/>
      <c r="M69" s="2"/>
      <c r="N69" s="2"/>
      <c r="O69" s="2"/>
    </row>
    <row r="70" spans="4:15" ht="15" customHeight="1" thickBot="1" x14ac:dyDescent="0.25">
      <c r="J70" s="8"/>
      <c r="K70" s="8" t="s">
        <v>111</v>
      </c>
      <c r="L70" s="8"/>
      <c r="M70" s="2"/>
      <c r="N70" s="2"/>
      <c r="O70" s="2"/>
    </row>
    <row r="71" spans="4:15" ht="15" customHeight="1" thickBot="1" x14ac:dyDescent="0.25">
      <c r="J71" s="8"/>
      <c r="K71" s="8" t="s">
        <v>27</v>
      </c>
      <c r="L71" s="8"/>
      <c r="M71" s="2"/>
      <c r="N71" s="2"/>
      <c r="O71" s="2"/>
    </row>
    <row r="72" spans="4:15" ht="15" customHeight="1" thickBot="1" x14ac:dyDescent="0.25">
      <c r="J72" s="8"/>
      <c r="K72" s="8" t="s">
        <v>28</v>
      </c>
      <c r="L72" s="8"/>
      <c r="M72" s="2"/>
      <c r="N72" s="2"/>
      <c r="O72" s="2"/>
    </row>
    <row r="73" spans="4:15" ht="15" customHeight="1" thickBot="1" x14ac:dyDescent="0.25">
      <c r="J73" s="8"/>
      <c r="K73" s="8" t="s">
        <v>29</v>
      </c>
      <c r="L73" s="8"/>
      <c r="M73" s="2"/>
      <c r="N73" s="2"/>
      <c r="O73" s="2"/>
    </row>
    <row r="74" spans="4:15" ht="15" customHeight="1" thickBot="1" x14ac:dyDescent="0.25">
      <c r="J74" s="8" t="s">
        <v>30</v>
      </c>
      <c r="K74" s="8" t="s">
        <v>22</v>
      </c>
      <c r="L74" s="8" t="s">
        <v>84</v>
      </c>
      <c r="M74" s="2"/>
      <c r="N74" s="2"/>
      <c r="O74" s="2"/>
    </row>
    <row r="75" spans="4:15" ht="15" customHeight="1" thickBot="1" x14ac:dyDescent="0.25">
      <c r="J75" s="8"/>
      <c r="K75" s="8" t="s">
        <v>23</v>
      </c>
      <c r="L75" s="8" t="s">
        <v>68</v>
      </c>
      <c r="M75" s="2"/>
      <c r="N75" s="2"/>
      <c r="O75" s="2"/>
    </row>
    <row r="76" spans="4:15" ht="15" thickBot="1" x14ac:dyDescent="0.25">
      <c r="J76" s="8"/>
      <c r="K76" s="8" t="s">
        <v>22</v>
      </c>
      <c r="L76" s="8" t="s">
        <v>85</v>
      </c>
      <c r="M76" s="2"/>
      <c r="N76" s="2"/>
      <c r="O76" s="2"/>
    </row>
    <row r="77" spans="4:15" ht="15" customHeight="1" thickBot="1" x14ac:dyDescent="0.25">
      <c r="J77" s="8"/>
      <c r="K77" s="8" t="s">
        <v>23</v>
      </c>
      <c r="L77" s="8" t="s">
        <v>68</v>
      </c>
      <c r="M77" s="2"/>
      <c r="N77" s="2"/>
      <c r="O77" s="2"/>
    </row>
    <row r="78" spans="4:15" ht="15" customHeight="1" thickBot="1" x14ac:dyDescent="0.25">
      <c r="J78" s="8" t="s">
        <v>31</v>
      </c>
      <c r="K78" s="8"/>
      <c r="L78" s="8"/>
      <c r="M78" s="2"/>
      <c r="N78" s="2"/>
      <c r="O78" s="2"/>
    </row>
    <row r="79" spans="4:15" ht="14.25" customHeight="1" x14ac:dyDescent="0.2"/>
    <row r="80" spans="4:15" ht="14.25" customHeight="1" x14ac:dyDescent="0.2"/>
    <row r="81" ht="15" customHeight="1" x14ac:dyDescent="0.2"/>
    <row r="82" x14ac:dyDescent="0.2"/>
    <row r="83" x14ac:dyDescent="0.2"/>
    <row r="84" x14ac:dyDescent="0.2"/>
    <row r="85" ht="14.25" customHeight="1" x14ac:dyDescent="0.2"/>
    <row r="86" x14ac:dyDescent="0.2"/>
    <row r="87" x14ac:dyDescent="0.2"/>
    <row r="88" ht="15" customHeight="1" x14ac:dyDescent="0.2"/>
    <row r="89" ht="15" customHeight="1" x14ac:dyDescent="0.2"/>
    <row r="90" x14ac:dyDescent="0.2"/>
    <row r="91" ht="15" customHeight="1" x14ac:dyDescent="0.2"/>
    <row r="92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5" customHeight="1" x14ac:dyDescent="0.2"/>
    <row r="98" x14ac:dyDescent="0.2"/>
    <row r="99" x14ac:dyDescent="0.2"/>
    <row r="100" x14ac:dyDescent="0.2"/>
    <row r="101" ht="14.25" customHeight="1" x14ac:dyDescent="0.2"/>
    <row r="102" x14ac:dyDescent="0.2"/>
    <row r="103" x14ac:dyDescent="0.2"/>
    <row r="104" x14ac:dyDescent="0.2"/>
    <row r="105" x14ac:dyDescent="0.2"/>
    <row r="106" x14ac:dyDescent="0.2"/>
    <row r="107" ht="15" customHeight="1" x14ac:dyDescent="0.2"/>
    <row r="108" x14ac:dyDescent="0.2"/>
    <row r="109" x14ac:dyDescent="0.2"/>
    <row r="110" x14ac:dyDescent="0.2"/>
    <row r="111" x14ac:dyDescent="0.2"/>
    <row r="112" ht="14.25" customHeight="1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ht="14.25" customHeight="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ht="14.25" customHeight="1" x14ac:dyDescent="0.2"/>
    <row r="129" x14ac:dyDescent="0.2"/>
    <row r="130" x14ac:dyDescent="0.2"/>
    <row r="131" x14ac:dyDescent="0.2"/>
    <row r="132" x14ac:dyDescent="0.2"/>
    <row r="133" ht="14.25" customHeight="1" x14ac:dyDescent="0.2"/>
    <row r="134" ht="15" customHeight="1" x14ac:dyDescent="0.2"/>
    <row r="135" x14ac:dyDescent="0.2"/>
    <row r="136" ht="15" customHeight="1" x14ac:dyDescent="0.2"/>
    <row r="137" ht="15" customHeight="1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ht="15" customHeight="1" x14ac:dyDescent="0.2"/>
    <row r="152" ht="14.25" customHeight="1" x14ac:dyDescent="0.2"/>
    <row r="153" ht="14.25" customHeight="1" x14ac:dyDescent="0.2"/>
    <row r="154" x14ac:dyDescent="0.2"/>
    <row r="155" x14ac:dyDescent="0.2"/>
    <row r="156" x14ac:dyDescent="0.2"/>
    <row r="157" x14ac:dyDescent="0.2"/>
  </sheetData>
  <mergeCells count="51">
    <mergeCell ref="D65:E65"/>
    <mergeCell ref="B38:C39"/>
    <mergeCell ref="D38:F39"/>
    <mergeCell ref="D60:E60"/>
    <mergeCell ref="D61:E61"/>
    <mergeCell ref="D63:F63"/>
    <mergeCell ref="D64:E64"/>
    <mergeCell ref="B37:C37"/>
    <mergeCell ref="D37:F37"/>
    <mergeCell ref="B28:C28"/>
    <mergeCell ref="B30:C30"/>
    <mergeCell ref="B31:F31"/>
    <mergeCell ref="B32:C32"/>
    <mergeCell ref="D32:F32"/>
    <mergeCell ref="B33:B34"/>
    <mergeCell ref="D33:F33"/>
    <mergeCell ref="D34:F34"/>
    <mergeCell ref="B35:F35"/>
    <mergeCell ref="B36:C36"/>
    <mergeCell ref="B29:C29"/>
    <mergeCell ref="D28:F28"/>
    <mergeCell ref="D29:F29"/>
    <mergeCell ref="B24:C24"/>
    <mergeCell ref="D24:F24"/>
    <mergeCell ref="B25:C25"/>
    <mergeCell ref="D25:F25"/>
    <mergeCell ref="B27:C27"/>
    <mergeCell ref="D27:F27"/>
    <mergeCell ref="B26:C26"/>
    <mergeCell ref="D26:F26"/>
    <mergeCell ref="B18:B20"/>
    <mergeCell ref="E18:E20"/>
    <mergeCell ref="B21:C21"/>
    <mergeCell ref="E21:F21"/>
    <mergeCell ref="B23:C23"/>
    <mergeCell ref="D23:F23"/>
    <mergeCell ref="E22:F22"/>
    <mergeCell ref="B22:C22"/>
    <mergeCell ref="B9:C10"/>
    <mergeCell ref="D9:D10"/>
    <mergeCell ref="B11:B14"/>
    <mergeCell ref="B15:B17"/>
    <mergeCell ref="D15:F15"/>
    <mergeCell ref="D16:F16"/>
    <mergeCell ref="D17:F17"/>
    <mergeCell ref="B8:F8"/>
    <mergeCell ref="B3:F3"/>
    <mergeCell ref="E4:F4"/>
    <mergeCell ref="E5:F5"/>
    <mergeCell ref="E6:F6"/>
    <mergeCell ref="E7:F7"/>
  </mergeCells>
  <dataValidations disablePrompts="1" count="8">
    <dataValidation type="list" allowBlank="1" showInputMessage="1" showErrorMessage="1" sqref="H3" xr:uid="{00000000-0002-0000-0300-000000000000}">
      <formula1>"RUS, ENG, US ENG, POL"</formula1>
    </dataValidation>
    <dataValidation allowBlank="1" showErrorMessage="1" prompt="Please note that our dewatering equipment is not designed to be used at a temperature below 0 C." sqref="D36" xr:uid="{00000000-0002-0000-0300-000001000000}"/>
    <dataValidation allowBlank="1" showErrorMessage="1" prompt="Please indicate Cl- concentration if it is higher than 300 mg/l." sqref="D9:D14" xr:uid="{00000000-0002-0000-0300-000002000000}"/>
    <dataValidation allowBlank="1" showInputMessage="1" showErrorMessage="1" prompt="Please note that by default screws are made of wear-resistant carbon steel." sqref="D30" xr:uid="{00000000-0002-0000-0300-000003000000}"/>
    <dataValidation type="list" allowBlank="1" showInputMessage="1" showErrorMessage="1" sqref="D44" xr:uid="{00000000-0002-0000-0300-000004000000}">
      <formula1>Material</formula1>
    </dataValidation>
    <dataValidation type="list" allowBlank="1" showInputMessage="1" showErrorMessage="1" sqref="F64 D46 D48 D42:D43" xr:uid="{00000000-0002-0000-0300-000005000000}">
      <formula1>Yes_No</formula1>
    </dataValidation>
    <dataValidation type="list" allowBlank="1" showInputMessage="1" showErrorMessage="1" sqref="D47" xr:uid="{00000000-0002-0000-0300-000006000000}">
      <formula1>Motor_reductor</formula1>
    </dataValidation>
    <dataValidation allowBlank="1" showErrorMessage="1" sqref="D21:D22" xr:uid="{00000000-0002-0000-0300-000007000000}"/>
  </dataValidations>
  <pageMargins left="0.7" right="0.7" top="0.75" bottom="0.75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R157"/>
  <sheetViews>
    <sheetView topLeftCell="A8" zoomScale="85" zoomScaleNormal="85" workbookViewId="0">
      <selection activeCell="B29" sqref="B29"/>
    </sheetView>
  </sheetViews>
  <sheetFormatPr defaultColWidth="0.85546875" defaultRowHeight="14.25" zeroHeight="1" x14ac:dyDescent="0.2"/>
  <cols>
    <col min="1" max="1" width="2" style="2" customWidth="1"/>
    <col min="2" max="2" width="23.7109375" style="3" customWidth="1"/>
    <col min="3" max="3" width="36.28515625" style="3" customWidth="1"/>
    <col min="4" max="4" width="21" style="3" customWidth="1"/>
    <col min="5" max="5" width="22" style="3" customWidth="1"/>
    <col min="6" max="6" width="57.28515625" style="3" customWidth="1"/>
    <col min="7" max="7" width="18.5703125" style="2" customWidth="1"/>
    <col min="8" max="8" width="23.7109375" style="2" customWidth="1"/>
    <col min="9" max="9" width="49.5703125" style="2" customWidth="1"/>
    <col min="10" max="23" width="20.7109375" style="3" customWidth="1"/>
    <col min="24" max="16384" width="0.85546875" style="3"/>
  </cols>
  <sheetData>
    <row r="2" spans="2:15" ht="15.75" thickBot="1" x14ac:dyDescent="0.3">
      <c r="B2" s="4" t="s">
        <v>216</v>
      </c>
      <c r="C2" s="3" t="str">
        <f>Screens!C1</f>
        <v>Барабанная решетка РМБТП</v>
      </c>
      <c r="J2" s="3" t="s">
        <v>217</v>
      </c>
    </row>
    <row r="3" spans="2:15" ht="15" thickBot="1" x14ac:dyDescent="0.25">
      <c r="B3" s="211" t="s">
        <v>278</v>
      </c>
      <c r="C3" s="212"/>
      <c r="D3" s="212"/>
      <c r="E3" s="212"/>
      <c r="F3" s="213"/>
      <c r="H3" s="2" t="s">
        <v>129</v>
      </c>
      <c r="I3" s="3" t="s">
        <v>218</v>
      </c>
      <c r="J3" s="8" t="s">
        <v>219</v>
      </c>
      <c r="K3" s="3" t="s">
        <v>14</v>
      </c>
    </row>
    <row r="4" spans="2:15" ht="15" thickBot="1" x14ac:dyDescent="0.25">
      <c r="B4" s="54" t="s">
        <v>279</v>
      </c>
      <c r="C4" s="55"/>
      <c r="D4" s="56" t="s">
        <v>220</v>
      </c>
      <c r="E4" s="214"/>
      <c r="F4" s="215"/>
      <c r="H4" s="5" t="s">
        <v>221</v>
      </c>
      <c r="I4" s="3" t="s">
        <v>287</v>
      </c>
      <c r="J4" s="11" t="s">
        <v>223</v>
      </c>
      <c r="K4" s="3" t="s">
        <v>15</v>
      </c>
    </row>
    <row r="5" spans="2:15" x14ac:dyDescent="0.2">
      <c r="B5" s="54" t="s">
        <v>224</v>
      </c>
      <c r="C5" s="55"/>
      <c r="D5" s="56" t="s">
        <v>225</v>
      </c>
      <c r="E5" s="214"/>
      <c r="F5" s="215"/>
      <c r="H5" s="6" t="s">
        <v>226</v>
      </c>
      <c r="I5" s="3" t="s">
        <v>222</v>
      </c>
      <c r="K5" s="3" t="s">
        <v>16</v>
      </c>
    </row>
    <row r="6" spans="2:15" x14ac:dyDescent="0.2">
      <c r="B6" s="54" t="s">
        <v>228</v>
      </c>
      <c r="C6" s="55"/>
      <c r="D6" s="56" t="s">
        <v>229</v>
      </c>
      <c r="E6" s="214"/>
      <c r="F6" s="215"/>
      <c r="I6" s="3" t="s">
        <v>227</v>
      </c>
      <c r="J6" s="3" t="s">
        <v>231</v>
      </c>
      <c r="K6" s="3" t="s">
        <v>17</v>
      </c>
    </row>
    <row r="7" spans="2:15" ht="15" thickBot="1" x14ac:dyDescent="0.25">
      <c r="B7" s="57" t="s">
        <v>232</v>
      </c>
      <c r="C7" s="58"/>
      <c r="D7" s="59" t="s">
        <v>233</v>
      </c>
      <c r="E7" s="216"/>
      <c r="F7" s="217"/>
      <c r="I7" s="3" t="s">
        <v>230</v>
      </c>
      <c r="J7" s="3" t="s">
        <v>272</v>
      </c>
      <c r="K7" s="3" t="s">
        <v>289</v>
      </c>
    </row>
    <row r="8" spans="2:15" ht="15" thickBot="1" x14ac:dyDescent="0.25">
      <c r="B8" s="208" t="s">
        <v>280</v>
      </c>
      <c r="C8" s="209"/>
      <c r="D8" s="209"/>
      <c r="E8" s="209"/>
      <c r="F8" s="210"/>
      <c r="H8" s="3"/>
      <c r="I8" s="3" t="s">
        <v>234</v>
      </c>
    </row>
    <row r="9" spans="2:15" ht="17.25" customHeight="1" x14ac:dyDescent="0.2">
      <c r="B9" s="218" t="s">
        <v>217</v>
      </c>
      <c r="C9" s="219"/>
      <c r="D9" s="222">
        <f>Screens!D8</f>
        <v>0</v>
      </c>
      <c r="E9" s="60" t="str">
        <f>IF(D9="Komunalne","Mieszane z ...","Rodzaj przemysłu")</f>
        <v>Rodzaj przemysłu</v>
      </c>
      <c r="F9" s="61"/>
      <c r="H9" s="3"/>
      <c r="I9" s="3" t="s">
        <v>235</v>
      </c>
      <c r="J9" s="3" t="s">
        <v>237</v>
      </c>
      <c r="K9" s="3" t="s">
        <v>285</v>
      </c>
    </row>
    <row r="10" spans="2:15" ht="60" customHeight="1" thickBot="1" x14ac:dyDescent="0.3">
      <c r="B10" s="220"/>
      <c r="C10" s="221"/>
      <c r="D10" s="223"/>
      <c r="E10" s="39" t="str">
        <f>IF(D9="Komunalne","Procent każdego typu","Określić źródła powstawania ścieków")</f>
        <v>Określić źródła powstawania ścieków</v>
      </c>
      <c r="F10" s="40"/>
      <c r="H10" s="3"/>
      <c r="I10" s="3" t="s">
        <v>236</v>
      </c>
      <c r="J10" s="4" t="s">
        <v>239</v>
      </c>
      <c r="K10" s="2" t="s">
        <v>286</v>
      </c>
      <c r="L10" s="2"/>
      <c r="M10" s="2"/>
      <c r="N10" s="4" t="s">
        <v>36</v>
      </c>
      <c r="O10" s="2"/>
    </row>
    <row r="11" spans="2:15" ht="45" customHeight="1" x14ac:dyDescent="0.25">
      <c r="B11" s="224" t="s">
        <v>240</v>
      </c>
      <c r="C11" s="36" t="s">
        <v>115</v>
      </c>
      <c r="D11" s="33"/>
      <c r="E11" s="33"/>
      <c r="F11" s="34"/>
      <c r="H11" s="3"/>
      <c r="I11" s="3" t="s">
        <v>238</v>
      </c>
      <c r="J11" s="4" t="s">
        <v>242</v>
      </c>
      <c r="K11" s="2" t="s">
        <v>243</v>
      </c>
      <c r="L11" s="2"/>
      <c r="M11" s="2"/>
      <c r="N11" s="4"/>
      <c r="O11" s="2"/>
    </row>
    <row r="12" spans="2:15" ht="15" customHeight="1" x14ac:dyDescent="0.25">
      <c r="B12" s="225"/>
      <c r="C12" s="27" t="s">
        <v>244</v>
      </c>
      <c r="D12" s="28"/>
      <c r="E12" s="28"/>
      <c r="F12" s="1"/>
      <c r="H12" s="3"/>
      <c r="I12" s="3" t="s">
        <v>241</v>
      </c>
      <c r="J12" s="78" t="s">
        <v>246</v>
      </c>
      <c r="K12" s="2" t="s">
        <v>247</v>
      </c>
      <c r="L12" s="2"/>
      <c r="M12" s="2"/>
      <c r="N12" s="4"/>
      <c r="O12" s="2"/>
    </row>
    <row r="13" spans="2:15" ht="15" customHeight="1" x14ac:dyDescent="0.25">
      <c r="B13" s="225"/>
      <c r="C13" s="27" t="s">
        <v>248</v>
      </c>
      <c r="D13" s="28"/>
      <c r="E13" s="28"/>
      <c r="F13" s="1"/>
      <c r="H13" s="3"/>
      <c r="I13" s="2" t="s">
        <v>245</v>
      </c>
      <c r="J13" s="4"/>
      <c r="K13" s="2" t="s">
        <v>249</v>
      </c>
      <c r="L13" s="2"/>
      <c r="M13" s="2"/>
      <c r="N13" s="4"/>
      <c r="O13" s="2"/>
    </row>
    <row r="14" spans="2:15" ht="15" customHeight="1" thickBot="1" x14ac:dyDescent="0.3">
      <c r="B14" s="226"/>
      <c r="C14" s="35" t="str">
        <f>IF(D9="Komunalne","-","Tłuszcze i substancje ropopochodne, mg/l")</f>
        <v>Tłuszcze i substancje ropopochodne, mg/l</v>
      </c>
      <c r="D14" s="47"/>
      <c r="E14" s="47"/>
      <c r="F14" s="48"/>
      <c r="J14" s="4"/>
      <c r="K14" s="2"/>
      <c r="L14" s="2"/>
      <c r="M14" s="2"/>
      <c r="N14" s="4"/>
      <c r="O14" s="2"/>
    </row>
    <row r="15" spans="2:15" ht="15" customHeight="1" x14ac:dyDescent="0.25">
      <c r="B15" s="224" t="s">
        <v>250</v>
      </c>
      <c r="C15" s="42" t="s">
        <v>251</v>
      </c>
      <c r="D15" s="228"/>
      <c r="E15" s="229"/>
      <c r="F15" s="230"/>
      <c r="J15" s="4"/>
      <c r="K15" s="2"/>
      <c r="L15" s="2"/>
      <c r="M15" s="2"/>
      <c r="N15" s="4"/>
      <c r="O15" s="2"/>
    </row>
    <row r="16" spans="2:15" ht="15" customHeight="1" thickBot="1" x14ac:dyDescent="0.3">
      <c r="B16" s="225"/>
      <c r="C16" s="43" t="s">
        <v>252</v>
      </c>
      <c r="D16" s="231"/>
      <c r="E16" s="232"/>
      <c r="F16" s="233"/>
      <c r="J16" s="4"/>
      <c r="K16" s="2"/>
      <c r="L16" s="2"/>
      <c r="M16" s="2"/>
      <c r="N16" s="4"/>
      <c r="O16" s="2"/>
    </row>
    <row r="17" spans="2:18" ht="15" customHeight="1" thickBot="1" x14ac:dyDescent="0.3">
      <c r="B17" s="227"/>
      <c r="C17" s="43" t="s">
        <v>253</v>
      </c>
      <c r="D17" s="231"/>
      <c r="E17" s="232"/>
      <c r="F17" s="233"/>
      <c r="J17" s="8" t="s">
        <v>105</v>
      </c>
      <c r="K17" s="8"/>
      <c r="L17" s="8" t="s">
        <v>68</v>
      </c>
      <c r="M17" s="2"/>
      <c r="N17" s="8" t="s">
        <v>37</v>
      </c>
      <c r="O17" s="8" t="s">
        <v>2</v>
      </c>
      <c r="Q17" s="9" t="s">
        <v>73</v>
      </c>
      <c r="R17" s="10" t="s">
        <v>74</v>
      </c>
    </row>
    <row r="18" spans="2:18" ht="15" customHeight="1" thickBot="1" x14ac:dyDescent="0.3">
      <c r="B18" s="234" t="str">
        <f>IF(D21="Ciśnieniowy", "Przepływ (na wszystkie urządzenia), m3/h", "Przepływ (na wszystkie urządzenia), m3/h")</f>
        <v>Przepływ (na wszystkie urządzenia), m3/h</v>
      </c>
      <c r="C18" s="44" t="s">
        <v>254</v>
      </c>
      <c r="D18" s="51"/>
      <c r="E18" s="237" t="str">
        <f>IF(AND(D21="Grawitacyjnie",D22="Kanałem"),"Poziom wody za kratą dla odpowiedniego przepływu, mm", "-")</f>
        <v>-</v>
      </c>
      <c r="F18" s="53" t="str">
        <f>IF(D21="Ciśnieniowo", "(Wydajność przepompowni)", " ")</f>
        <v xml:space="preserve"> </v>
      </c>
      <c r="J18" s="8" t="s">
        <v>106</v>
      </c>
      <c r="K18" s="11"/>
      <c r="L18" s="11"/>
      <c r="M18" s="2"/>
      <c r="N18" s="8"/>
      <c r="O18" s="8" t="s">
        <v>38</v>
      </c>
      <c r="Q18" s="12"/>
      <c r="R18" s="12" t="s">
        <v>89</v>
      </c>
    </row>
    <row r="19" spans="2:18" ht="15" customHeight="1" thickBot="1" x14ac:dyDescent="0.3">
      <c r="B19" s="235"/>
      <c r="C19" s="46" t="s">
        <v>255</v>
      </c>
      <c r="D19" s="51"/>
      <c r="E19" s="238"/>
      <c r="F19" s="52"/>
      <c r="H19" s="2" t="s">
        <v>188</v>
      </c>
      <c r="J19" s="8"/>
      <c r="K19" s="8"/>
      <c r="L19" s="8"/>
      <c r="M19" s="2"/>
      <c r="N19" s="8"/>
      <c r="O19" s="8" t="s">
        <v>3</v>
      </c>
      <c r="Q19" s="10" t="s">
        <v>79</v>
      </c>
      <c r="R19" s="10" t="s">
        <v>68</v>
      </c>
    </row>
    <row r="20" spans="2:18" ht="24" customHeight="1" thickBot="1" x14ac:dyDescent="0.25">
      <c r="B20" s="236"/>
      <c r="C20" s="45" t="s">
        <v>256</v>
      </c>
      <c r="D20" s="73"/>
      <c r="E20" s="239"/>
      <c r="F20" s="72"/>
      <c r="J20" s="8"/>
      <c r="K20" s="8"/>
      <c r="L20" s="8"/>
      <c r="M20" s="2"/>
      <c r="N20" s="8"/>
      <c r="O20" s="8"/>
      <c r="Q20" s="13" t="s">
        <v>80</v>
      </c>
      <c r="R20" s="13" t="s">
        <v>82</v>
      </c>
    </row>
    <row r="21" spans="2:18" ht="15" customHeight="1" thickBot="1" x14ac:dyDescent="0.3">
      <c r="B21" s="240" t="s">
        <v>257</v>
      </c>
      <c r="C21" s="241"/>
      <c r="D21" s="49">
        <f>Screens!D20</f>
        <v>0</v>
      </c>
      <c r="E21" s="298" t="str">
        <f>IF(D21="Ciśnieniowo","Uwaga: Ciśnienie nadmierne nie większe niż 1 m H2O", "-")</f>
        <v>-</v>
      </c>
      <c r="F21" s="299"/>
      <c r="J21" s="8"/>
      <c r="K21" s="8"/>
      <c r="L21" s="8"/>
      <c r="M21" s="2"/>
      <c r="N21" s="8"/>
      <c r="O21" s="8"/>
      <c r="Q21" s="14"/>
      <c r="R21" s="14"/>
    </row>
    <row r="22" spans="2:18" ht="15" customHeight="1" thickBot="1" x14ac:dyDescent="0.3">
      <c r="B22" s="68" t="s">
        <v>258</v>
      </c>
      <c r="C22" s="69"/>
      <c r="D22" s="49">
        <f>Screens!D21</f>
        <v>0</v>
      </c>
      <c r="E22" s="70" t="str">
        <f>IF(AND(D22="Kanałem",OR(C2="Sito obrotowe RDS", C2="Krata bębnowa szczotkowa RMB Sh",C2="Krata bębnowa z taśmą z trojściennego profilu RMB TP")),"Taki rodzaj kraty nie może być zainstalowany w kanale!","-")</f>
        <v>-</v>
      </c>
      <c r="F22" s="71"/>
      <c r="J22" s="8"/>
      <c r="K22" s="8"/>
      <c r="L22" s="8"/>
      <c r="M22" s="2"/>
      <c r="N22" s="8"/>
      <c r="O22" s="8"/>
      <c r="Q22" s="14"/>
      <c r="R22" s="14"/>
    </row>
    <row r="23" spans="2:18" ht="15" customHeight="1" thickBot="1" x14ac:dyDescent="0.25">
      <c r="B23" s="244" t="s">
        <v>281</v>
      </c>
      <c r="C23" s="245"/>
      <c r="D23" s="246"/>
      <c r="E23" s="247"/>
      <c r="F23" s="248"/>
      <c r="J23" s="8" t="s">
        <v>0</v>
      </c>
      <c r="K23" s="8" t="s">
        <v>99</v>
      </c>
      <c r="L23" s="8" t="s">
        <v>115</v>
      </c>
      <c r="M23" s="2"/>
      <c r="N23" s="8"/>
      <c r="O23" s="8"/>
      <c r="Q23" s="12" t="s">
        <v>81</v>
      </c>
      <c r="R23" s="12" t="s">
        <v>83</v>
      </c>
    </row>
    <row r="24" spans="2:18" ht="15" customHeight="1" thickBot="1" x14ac:dyDescent="0.25">
      <c r="B24" s="253" t="s">
        <v>282</v>
      </c>
      <c r="C24" s="254"/>
      <c r="D24" s="255">
        <f>[1]Screens!D24</f>
        <v>0</v>
      </c>
      <c r="E24" s="256"/>
      <c r="F24" s="257"/>
      <c r="J24" s="8"/>
      <c r="K24" s="11" t="s">
        <v>100</v>
      </c>
      <c r="L24" s="11" t="s">
        <v>108</v>
      </c>
      <c r="M24" s="2"/>
      <c r="N24" s="8"/>
      <c r="O24" s="8" t="s">
        <v>39</v>
      </c>
      <c r="Q24" s="10" t="s">
        <v>76</v>
      </c>
      <c r="R24" s="10" t="s">
        <v>77</v>
      </c>
    </row>
    <row r="25" spans="2:18" ht="15" customHeight="1" thickBot="1" x14ac:dyDescent="0.25">
      <c r="B25" s="306" t="str">
        <f>IF(D22="Kanałem","Wysokość zrzutu skratek od poziomu obsługi, mm","-")</f>
        <v>-</v>
      </c>
      <c r="C25" s="307"/>
      <c r="D25" s="258"/>
      <c r="E25" s="259"/>
      <c r="F25" s="260"/>
      <c r="J25" s="8"/>
      <c r="K25" s="11"/>
      <c r="L25" s="11"/>
      <c r="M25" s="2"/>
      <c r="N25" s="8"/>
      <c r="O25" s="8"/>
      <c r="Q25" s="15"/>
      <c r="R25" s="15"/>
    </row>
    <row r="26" spans="2:18" ht="15" customHeight="1" thickBot="1" x14ac:dyDescent="0.25">
      <c r="B26" s="310" t="str">
        <f>IF(D22="Kanałem","Wysokość zrzutu od góry kanału, mm","Od podłogi, mm")</f>
        <v>Od podłogi, mm</v>
      </c>
      <c r="C26" s="311"/>
      <c r="D26" s="76"/>
      <c r="E26" s="74"/>
      <c r="F26" s="75"/>
      <c r="J26" s="8"/>
      <c r="K26" s="11"/>
      <c r="L26" s="11"/>
      <c r="M26" s="2"/>
      <c r="N26" s="8"/>
      <c r="O26" s="8"/>
      <c r="Q26" s="15"/>
      <c r="R26" s="15"/>
    </row>
    <row r="27" spans="2:18" ht="15" customHeight="1" thickBot="1" x14ac:dyDescent="0.3">
      <c r="B27" s="253" t="str">
        <f>IF(D22="Kanałem", "Wysokość kanału, mm", "Średnica rury, mm")</f>
        <v>Średnica rury, mm</v>
      </c>
      <c r="C27" s="261"/>
      <c r="D27" s="258"/>
      <c r="E27" s="232"/>
      <c r="F27" s="233"/>
      <c r="J27" s="8"/>
      <c r="K27" s="8" t="s">
        <v>99</v>
      </c>
      <c r="L27" s="11" t="s">
        <v>109</v>
      </c>
      <c r="M27" s="2"/>
      <c r="N27" s="8" t="s">
        <v>40</v>
      </c>
      <c r="O27" s="8" t="s">
        <v>2</v>
      </c>
      <c r="Q27" s="12"/>
      <c r="R27" s="12" t="s">
        <v>78</v>
      </c>
    </row>
    <row r="28" spans="2:18" ht="15" customHeight="1" thickBot="1" x14ac:dyDescent="0.3">
      <c r="B28" s="253" t="str">
        <f>IF(D22="Kanałem", "Szerokość kanału, mm", "-")</f>
        <v>-</v>
      </c>
      <c r="C28" s="261"/>
      <c r="D28" s="63"/>
      <c r="E28" s="66"/>
      <c r="F28" s="67"/>
      <c r="J28" s="8"/>
      <c r="K28" s="11" t="s">
        <v>100</v>
      </c>
      <c r="L28" s="11" t="s">
        <v>109</v>
      </c>
      <c r="M28" s="2"/>
      <c r="N28" s="8"/>
      <c r="O28" s="8" t="s">
        <v>41</v>
      </c>
      <c r="Q28" s="10" t="s">
        <v>79</v>
      </c>
      <c r="R28" s="10" t="s">
        <v>75</v>
      </c>
    </row>
    <row r="29" spans="2:18" ht="15" customHeight="1" thickBot="1" x14ac:dyDescent="0.3">
      <c r="B29" s="64" t="s">
        <v>259</v>
      </c>
      <c r="C29" s="65"/>
      <c r="D29" s="63"/>
      <c r="E29" s="66"/>
      <c r="F29" s="67"/>
      <c r="J29" s="8" t="s">
        <v>1</v>
      </c>
      <c r="K29" s="8" t="s">
        <v>102</v>
      </c>
      <c r="L29" s="8" t="s">
        <v>68</v>
      </c>
      <c r="M29" s="2"/>
      <c r="N29" s="8"/>
      <c r="O29" s="8" t="s">
        <v>42</v>
      </c>
      <c r="Q29" s="13" t="s">
        <v>80</v>
      </c>
      <c r="R29" s="13" t="s">
        <v>68</v>
      </c>
    </row>
    <row r="30" spans="2:18" ht="15" customHeight="1" thickBot="1" x14ac:dyDescent="0.3">
      <c r="B30" s="269" t="s">
        <v>260</v>
      </c>
      <c r="C30" s="270"/>
      <c r="D30" s="50">
        <f>Screens!D29</f>
        <v>0</v>
      </c>
      <c r="E30" s="308"/>
      <c r="F30" s="309"/>
      <c r="J30" s="8"/>
      <c r="K30" s="8" t="s">
        <v>101</v>
      </c>
      <c r="L30" s="8" t="s">
        <v>92</v>
      </c>
      <c r="M30" s="2"/>
      <c r="N30" s="8"/>
      <c r="O30" s="8"/>
      <c r="Q30" s="14"/>
      <c r="R30" s="14"/>
    </row>
    <row r="31" spans="2:18" ht="45.75" customHeight="1" thickBot="1" x14ac:dyDescent="0.3">
      <c r="B31" s="271" t="s">
        <v>283</v>
      </c>
      <c r="C31" s="272"/>
      <c r="D31" s="273"/>
      <c r="E31" s="273"/>
      <c r="F31" s="221"/>
      <c r="J31" s="8"/>
      <c r="K31" s="8" t="s">
        <v>102</v>
      </c>
      <c r="L31" s="8" t="s">
        <v>68</v>
      </c>
      <c r="M31" s="2"/>
      <c r="N31" s="8"/>
      <c r="O31" s="8" t="s">
        <v>39</v>
      </c>
      <c r="Q31" s="12" t="s">
        <v>81</v>
      </c>
      <c r="R31" s="12" t="s">
        <v>75</v>
      </c>
    </row>
    <row r="32" spans="2:18" ht="15" customHeight="1" thickBot="1" x14ac:dyDescent="0.3">
      <c r="B32" s="274" t="s">
        <v>261</v>
      </c>
      <c r="C32" s="275"/>
      <c r="D32" s="276"/>
      <c r="E32" s="277"/>
      <c r="F32" s="278"/>
      <c r="J32" s="8"/>
      <c r="K32" s="8" t="s">
        <v>101</v>
      </c>
      <c r="L32" s="8" t="s">
        <v>93</v>
      </c>
      <c r="M32" s="2"/>
      <c r="N32" s="8" t="s">
        <v>43</v>
      </c>
      <c r="O32" s="8" t="s">
        <v>44</v>
      </c>
      <c r="Q32" s="10" t="s">
        <v>79</v>
      </c>
      <c r="R32" s="10" t="s">
        <v>68</v>
      </c>
    </row>
    <row r="33" spans="2:18" ht="26.25" customHeight="1" thickBot="1" x14ac:dyDescent="0.3">
      <c r="B33" s="234" t="s">
        <v>262</v>
      </c>
      <c r="C33" s="77" t="s">
        <v>263</v>
      </c>
      <c r="D33" s="279"/>
      <c r="E33" s="280"/>
      <c r="F33" s="243"/>
      <c r="J33" s="8"/>
      <c r="K33" s="8"/>
      <c r="L33" s="8"/>
      <c r="M33" s="2"/>
      <c r="N33" s="8"/>
      <c r="O33" s="8"/>
      <c r="Q33" s="29"/>
      <c r="R33" s="29"/>
    </row>
    <row r="34" spans="2:18" ht="43.5" customHeight="1" thickBot="1" x14ac:dyDescent="0.3">
      <c r="B34" s="235"/>
      <c r="C34" s="32" t="s">
        <v>288</v>
      </c>
      <c r="D34" s="281"/>
      <c r="E34" s="282"/>
      <c r="F34" s="283"/>
      <c r="J34" s="8"/>
      <c r="K34" s="8"/>
      <c r="L34" s="8"/>
      <c r="M34" s="2"/>
      <c r="N34" s="8"/>
      <c r="O34" s="8"/>
      <c r="Q34" s="29"/>
      <c r="R34" s="29"/>
    </row>
    <row r="35" spans="2:18" ht="15" customHeight="1" thickBot="1" x14ac:dyDescent="0.25">
      <c r="B35" s="284" t="s">
        <v>276</v>
      </c>
      <c r="C35" s="285"/>
      <c r="D35" s="285"/>
      <c r="E35" s="285"/>
      <c r="F35" s="286"/>
      <c r="J35" s="8"/>
      <c r="K35" s="8"/>
      <c r="L35" s="8"/>
      <c r="M35" s="2"/>
      <c r="N35" s="8"/>
      <c r="O35" s="8"/>
      <c r="Q35" s="29"/>
      <c r="R35" s="29"/>
    </row>
    <row r="36" spans="2:18" ht="42" customHeight="1" thickBot="1" x14ac:dyDescent="0.25">
      <c r="B36" s="287" t="s">
        <v>264</v>
      </c>
      <c r="C36" s="288"/>
      <c r="D36" s="30">
        <f>Screens!D35</f>
        <v>0</v>
      </c>
      <c r="E36" s="96" t="str">
        <f>IF(D36="Na zewnątrz budynku","Minimalna temperatura otoczenia, ºC ***","-")</f>
        <v>-</v>
      </c>
      <c r="F36" s="103"/>
      <c r="J36" s="8"/>
      <c r="K36" s="8"/>
      <c r="L36" s="8"/>
      <c r="M36" s="2"/>
      <c r="N36" s="8" t="s">
        <v>45</v>
      </c>
      <c r="O36" s="8" t="s">
        <v>46</v>
      </c>
      <c r="Q36" s="12" t="s">
        <v>81</v>
      </c>
      <c r="R36" s="12" t="s">
        <v>63</v>
      </c>
    </row>
    <row r="37" spans="2:18" ht="16.5" customHeight="1" thickBot="1" x14ac:dyDescent="0.25">
      <c r="B37" s="264" t="str">
        <f>IF(D36="Wewnątrz budynku", "Wymiary budynku (długość*szerokość*wysokość), m", "-")</f>
        <v>-</v>
      </c>
      <c r="C37" s="265"/>
      <c r="D37" s="266"/>
      <c r="E37" s="267"/>
      <c r="F37" s="268"/>
      <c r="J37" s="8"/>
      <c r="K37" s="8"/>
      <c r="L37" s="8"/>
      <c r="M37" s="2"/>
      <c r="N37" s="8" t="s">
        <v>47</v>
      </c>
      <c r="O37" s="8"/>
      <c r="Q37" s="10" t="s">
        <v>79</v>
      </c>
      <c r="R37" s="10" t="s">
        <v>68</v>
      </c>
    </row>
    <row r="38" spans="2:18" s="2" customFormat="1" ht="15" customHeight="1" thickBot="1" x14ac:dyDescent="0.25">
      <c r="B38" s="289" t="s">
        <v>265</v>
      </c>
      <c r="C38" s="290"/>
      <c r="D38" s="291"/>
      <c r="E38" s="292"/>
      <c r="F38" s="293"/>
      <c r="J38" s="8"/>
      <c r="K38" s="8"/>
      <c r="L38" s="8"/>
      <c r="N38" s="8" t="s">
        <v>71</v>
      </c>
      <c r="O38" s="8"/>
      <c r="Q38" s="18" t="s">
        <v>80</v>
      </c>
      <c r="R38" s="18" t="s">
        <v>64</v>
      </c>
    </row>
    <row r="39" spans="2:18" s="2" customFormat="1" ht="20.25" customHeight="1" thickBot="1" x14ac:dyDescent="0.25">
      <c r="B39" s="220"/>
      <c r="C39" s="221"/>
      <c r="D39" s="294"/>
      <c r="E39" s="295"/>
      <c r="F39" s="296"/>
      <c r="J39" s="8"/>
      <c r="K39" s="8"/>
      <c r="L39" s="8"/>
      <c r="N39" s="8" t="s">
        <v>48</v>
      </c>
      <c r="O39" s="8"/>
      <c r="Q39" s="19" t="s">
        <v>81</v>
      </c>
      <c r="R39" s="19" t="s">
        <v>64</v>
      </c>
    </row>
    <row r="40" spans="2:18" ht="15" customHeight="1" thickBot="1" x14ac:dyDescent="0.4">
      <c r="B40" s="41" t="str">
        <f>IF(C2="Screw screen RVO","* Standard version - perforated plate basket, wedge wire basket available upon request","* Rodzaj strefy filtracyjnej - zobacz opis kraty.")</f>
        <v>* Rodzaj strefy filtracyjnej - zobacz opis kraty.</v>
      </c>
      <c r="C40" s="17"/>
      <c r="D40" s="16"/>
      <c r="E40" s="17"/>
      <c r="F40" s="17"/>
      <c r="J40" s="11" t="s">
        <v>4</v>
      </c>
      <c r="K40" s="8" t="s">
        <v>86</v>
      </c>
      <c r="L40" s="8"/>
      <c r="M40" s="2"/>
      <c r="N40" s="8" t="s">
        <v>33</v>
      </c>
      <c r="O40" s="8"/>
      <c r="Q40" s="10" t="s">
        <v>79</v>
      </c>
      <c r="R40" s="10" t="s">
        <v>68</v>
      </c>
    </row>
    <row r="41" spans="2:18" ht="15" customHeight="1" thickBot="1" x14ac:dyDescent="0.3">
      <c r="B41" s="3" t="str">
        <f>IF(OR(C2="Krata ślimakowa RVO", C2="Krata ślimakowa z grzebłem obrotowym RVO B1",C2="Krata ślimakowa z koszem bębnowym RVO B2"),"** Standartowo kraty wykonane ze stali odpornej na zużycie ścierne.","** Zobacz opis krat.")</f>
        <v>** Zobacz opis krat.</v>
      </c>
      <c r="C41" s="17"/>
      <c r="D41" s="16"/>
      <c r="E41" s="17"/>
      <c r="F41" s="17"/>
      <c r="J41" s="11"/>
      <c r="K41" s="8" t="s">
        <v>5</v>
      </c>
      <c r="L41" s="8"/>
      <c r="M41" s="2"/>
      <c r="N41" s="8" t="s">
        <v>34</v>
      </c>
      <c r="O41" s="8"/>
      <c r="Q41" s="13" t="s">
        <v>80</v>
      </c>
      <c r="R41" s="13" t="s">
        <v>57</v>
      </c>
    </row>
    <row r="42" spans="2:18" ht="15" customHeight="1" thickBot="1" x14ac:dyDescent="0.3">
      <c r="B42" s="2" t="str">
        <f>IF(AND(D36="Na zewnątrz budynku",OR(C2="Sito obrotowe RDS", C2="Krata bębnowa szczotkowa RMB Sh",C2="Krata bębnowa z taśmą z trojściennego profilu RMB TP",C2="Krata zgrzebłowa RKE",C2="Mała krata zgrzebłowa RMKE")),"*** Standartowa wersja tego typu krat nie nadaje się do instalacji na zewnątrz przy temperaturze mniej niż +5 ºC. Za dodatkową informacją prosimy o kontakt z przedstawicielami EKOTON PRODEKO EŁK.","-")</f>
        <v>-</v>
      </c>
      <c r="C42" s="20"/>
      <c r="D42" s="38"/>
      <c r="E42" s="20"/>
      <c r="F42" s="20"/>
      <c r="J42" s="11"/>
      <c r="K42" s="8" t="s">
        <v>6</v>
      </c>
      <c r="L42" s="8" t="s">
        <v>68</v>
      </c>
      <c r="M42" s="2"/>
      <c r="N42" s="8" t="s">
        <v>49</v>
      </c>
      <c r="O42" s="8"/>
      <c r="Q42" s="12" t="s">
        <v>81</v>
      </c>
      <c r="R42" s="12" t="s">
        <v>57</v>
      </c>
    </row>
    <row r="43" spans="2:18" ht="15" customHeight="1" thickBot="1" x14ac:dyDescent="0.4">
      <c r="B43" s="16" t="s">
        <v>284</v>
      </c>
      <c r="C43" s="20"/>
      <c r="D43" s="38"/>
      <c r="E43" s="20"/>
      <c r="F43" s="20"/>
      <c r="J43" s="11" t="s">
        <v>7</v>
      </c>
      <c r="K43" s="8" t="s">
        <v>104</v>
      </c>
      <c r="L43" s="8" t="s">
        <v>116</v>
      </c>
      <c r="M43" s="2"/>
      <c r="N43" s="8" t="s">
        <v>50</v>
      </c>
      <c r="O43" s="8" t="s">
        <v>51</v>
      </c>
      <c r="Q43" s="10" t="s">
        <v>79</v>
      </c>
      <c r="R43" s="10" t="s">
        <v>68</v>
      </c>
    </row>
    <row r="44" spans="2:18" ht="15" customHeight="1" thickBot="1" x14ac:dyDescent="0.3">
      <c r="B44" s="21"/>
      <c r="C44" s="20"/>
      <c r="D44" s="38"/>
      <c r="F44" s="20"/>
      <c r="J44" s="11"/>
      <c r="K44" s="8" t="s">
        <v>103</v>
      </c>
      <c r="L44" s="8" t="s">
        <v>68</v>
      </c>
      <c r="M44" s="2"/>
      <c r="N44" s="8"/>
      <c r="O44" s="8" t="s">
        <v>52</v>
      </c>
      <c r="Q44" s="13" t="s">
        <v>80</v>
      </c>
      <c r="R44" s="13" t="s">
        <v>65</v>
      </c>
    </row>
    <row r="45" spans="2:18" ht="15" customHeight="1" thickBot="1" x14ac:dyDescent="0.3">
      <c r="B45" s="38"/>
      <c r="C45" s="20"/>
      <c r="D45" s="20"/>
      <c r="E45" s="20"/>
      <c r="F45" s="20"/>
      <c r="J45" s="11" t="s">
        <v>32</v>
      </c>
      <c r="K45" s="8" t="s">
        <v>105</v>
      </c>
      <c r="L45" s="8"/>
      <c r="M45" s="2"/>
      <c r="N45" s="8"/>
      <c r="O45" s="8" t="s">
        <v>69</v>
      </c>
      <c r="Q45" s="12" t="s">
        <v>81</v>
      </c>
      <c r="R45" s="12" t="s">
        <v>65</v>
      </c>
    </row>
    <row r="46" spans="2:18" ht="15" customHeight="1" thickBot="1" x14ac:dyDescent="0.3">
      <c r="B46" s="37"/>
      <c r="C46" s="20"/>
      <c r="D46" s="22"/>
      <c r="E46" s="20"/>
      <c r="F46" s="20"/>
      <c r="J46" s="8"/>
      <c r="K46" s="8" t="s">
        <v>106</v>
      </c>
      <c r="L46" s="8"/>
      <c r="M46" s="2"/>
      <c r="N46" s="8" t="s">
        <v>32</v>
      </c>
      <c r="O46" s="8" t="s">
        <v>62</v>
      </c>
      <c r="Q46" s="10" t="s">
        <v>79</v>
      </c>
      <c r="R46" s="10" t="s">
        <v>68</v>
      </c>
    </row>
    <row r="47" spans="2:18" ht="15" customHeight="1" thickBot="1" x14ac:dyDescent="0.3">
      <c r="B47" s="37"/>
      <c r="C47" s="20"/>
      <c r="D47" s="38"/>
      <c r="E47" s="20"/>
      <c r="F47" s="20"/>
      <c r="J47" s="8" t="s">
        <v>8</v>
      </c>
      <c r="K47" s="8"/>
      <c r="L47" s="8"/>
      <c r="M47" s="2"/>
      <c r="N47" s="8"/>
      <c r="O47" s="8" t="s">
        <v>23</v>
      </c>
      <c r="Q47" s="13" t="s">
        <v>80</v>
      </c>
      <c r="R47" s="13" t="s">
        <v>70</v>
      </c>
    </row>
    <row r="48" spans="2:18" ht="15" customHeight="1" thickBot="1" x14ac:dyDescent="0.3">
      <c r="B48" s="37"/>
      <c r="C48" s="20"/>
      <c r="D48" s="38"/>
      <c r="F48" s="23"/>
      <c r="J48" s="8" t="s">
        <v>72</v>
      </c>
      <c r="K48" s="8"/>
      <c r="L48" s="8"/>
      <c r="M48" s="2"/>
      <c r="N48" s="24" t="s">
        <v>53</v>
      </c>
      <c r="O48" s="24"/>
      <c r="Q48" s="12" t="s">
        <v>81</v>
      </c>
      <c r="R48" s="12" t="s">
        <v>70</v>
      </c>
    </row>
    <row r="49" spans="2:18" ht="15" customHeight="1" thickBot="1" x14ac:dyDescent="0.3">
      <c r="B49" s="20"/>
      <c r="C49" s="20"/>
      <c r="D49" s="20"/>
      <c r="F49" s="23"/>
      <c r="J49" s="11" t="s">
        <v>9</v>
      </c>
      <c r="K49" s="8" t="s">
        <v>10</v>
      </c>
      <c r="L49" s="8"/>
      <c r="M49" s="2"/>
      <c r="N49" s="8" t="s">
        <v>20</v>
      </c>
      <c r="O49" s="8" t="s">
        <v>22</v>
      </c>
      <c r="Q49" s="10" t="s">
        <v>79</v>
      </c>
      <c r="R49" s="10" t="s">
        <v>68</v>
      </c>
    </row>
    <row r="50" spans="2:18" ht="15" customHeight="1" thickBot="1" x14ac:dyDescent="0.3">
      <c r="B50" s="37"/>
      <c r="C50" s="20"/>
      <c r="D50" s="20"/>
      <c r="E50" s="20"/>
      <c r="F50" s="20"/>
      <c r="J50" s="11"/>
      <c r="K50" s="8" t="s">
        <v>11</v>
      </c>
      <c r="L50" s="8"/>
      <c r="M50" s="2"/>
      <c r="N50" s="8"/>
      <c r="O50" s="8" t="s">
        <v>23</v>
      </c>
      <c r="Q50" s="13" t="s">
        <v>80</v>
      </c>
      <c r="R50" s="13" t="s">
        <v>30</v>
      </c>
    </row>
    <row r="51" spans="2:18" ht="15" customHeight="1" thickBot="1" x14ac:dyDescent="0.3">
      <c r="B51" s="37"/>
      <c r="C51" s="20"/>
      <c r="D51" s="38"/>
      <c r="E51" s="20"/>
      <c r="F51" s="20"/>
      <c r="J51" s="11"/>
      <c r="K51" s="8" t="s">
        <v>12</v>
      </c>
      <c r="L51" s="8"/>
      <c r="M51" s="2"/>
      <c r="N51" s="8" t="s">
        <v>54</v>
      </c>
      <c r="O51" s="8"/>
      <c r="Q51" s="12" t="s">
        <v>81</v>
      </c>
      <c r="R51" s="12" t="s">
        <v>30</v>
      </c>
    </row>
    <row r="52" spans="2:18" ht="15" customHeight="1" thickBot="1" x14ac:dyDescent="0.3">
      <c r="B52" s="20"/>
      <c r="C52" s="20"/>
      <c r="D52" s="20"/>
      <c r="E52" s="20"/>
      <c r="F52" s="20"/>
      <c r="J52" s="11" t="s">
        <v>35</v>
      </c>
      <c r="K52" s="8" t="s">
        <v>66</v>
      </c>
      <c r="L52" s="8"/>
      <c r="M52" s="2"/>
      <c r="N52" s="24" t="s">
        <v>25</v>
      </c>
      <c r="O52" s="8"/>
    </row>
    <row r="53" spans="2:18" ht="15" customHeight="1" thickBot="1" x14ac:dyDescent="0.25">
      <c r="J53" s="11"/>
      <c r="K53" s="8" t="s">
        <v>67</v>
      </c>
      <c r="L53" s="8"/>
      <c r="M53" s="2"/>
      <c r="N53" s="8" t="s">
        <v>55</v>
      </c>
      <c r="O53" s="8"/>
    </row>
    <row r="54" spans="2:18" ht="15" customHeight="1" thickBot="1" x14ac:dyDescent="0.25">
      <c r="J54" s="11"/>
      <c r="K54" s="8"/>
      <c r="L54" s="8"/>
      <c r="M54" s="2"/>
      <c r="N54" s="8" t="s">
        <v>56</v>
      </c>
      <c r="O54" s="8"/>
    </row>
    <row r="55" spans="2:18" ht="15" customHeight="1" thickBot="1" x14ac:dyDescent="0.25">
      <c r="J55" s="11"/>
      <c r="K55" s="8"/>
      <c r="L55" s="8"/>
      <c r="M55" s="2"/>
      <c r="N55" s="8" t="s">
        <v>57</v>
      </c>
      <c r="O55" s="8" t="s">
        <v>58</v>
      </c>
    </row>
    <row r="56" spans="2:18" ht="15" customHeight="1" thickBot="1" x14ac:dyDescent="0.25">
      <c r="J56" s="8" t="s">
        <v>13</v>
      </c>
      <c r="K56" s="8" t="s">
        <v>14</v>
      </c>
      <c r="L56" s="8"/>
      <c r="M56" s="2"/>
      <c r="N56" s="8"/>
      <c r="O56" s="8" t="s">
        <v>59</v>
      </c>
    </row>
    <row r="57" spans="2:18" ht="15" customHeight="1" thickBot="1" x14ac:dyDescent="0.25">
      <c r="J57" s="8"/>
      <c r="K57" s="8" t="s">
        <v>15</v>
      </c>
      <c r="L57" s="8"/>
      <c r="M57" s="2"/>
      <c r="N57" s="8" t="s">
        <v>60</v>
      </c>
      <c r="O57" s="8"/>
    </row>
    <row r="58" spans="2:18" ht="15" thickBot="1" x14ac:dyDescent="0.25">
      <c r="B58" s="37"/>
      <c r="D58" s="38"/>
      <c r="J58" s="8"/>
      <c r="K58" s="8" t="s">
        <v>16</v>
      </c>
      <c r="L58" s="8"/>
      <c r="M58" s="2"/>
      <c r="N58" s="8" t="s">
        <v>61</v>
      </c>
      <c r="O58" s="8"/>
    </row>
    <row r="59" spans="2:18" ht="15" thickBot="1" x14ac:dyDescent="0.25">
      <c r="J59" s="8"/>
      <c r="K59" s="8" t="s">
        <v>17</v>
      </c>
      <c r="L59" s="8"/>
      <c r="M59" s="2"/>
      <c r="N59" s="8" t="s">
        <v>30</v>
      </c>
      <c r="O59" s="8" t="s">
        <v>22</v>
      </c>
    </row>
    <row r="60" spans="2:18" ht="15" thickBot="1" x14ac:dyDescent="0.25">
      <c r="D60" s="145"/>
      <c r="E60" s="145"/>
      <c r="F60" s="38"/>
      <c r="J60" s="8"/>
      <c r="K60" s="8" t="s">
        <v>110</v>
      </c>
      <c r="L60" s="8"/>
      <c r="M60" s="2"/>
      <c r="N60" s="8"/>
      <c r="O60" s="8"/>
    </row>
    <row r="61" spans="2:18" ht="15" customHeight="1" thickBot="1" x14ac:dyDescent="0.25">
      <c r="D61" s="145"/>
      <c r="E61" s="145"/>
      <c r="F61" s="37"/>
      <c r="J61" s="8"/>
      <c r="K61" s="8"/>
      <c r="L61" s="8"/>
      <c r="M61" s="2"/>
      <c r="N61" s="8"/>
      <c r="O61" s="8"/>
    </row>
    <row r="62" spans="2:18" ht="15" thickBot="1" x14ac:dyDescent="0.25">
      <c r="F62" s="37"/>
      <c r="J62" s="8"/>
      <c r="K62" s="8"/>
      <c r="L62" s="8"/>
      <c r="M62" s="2"/>
      <c r="N62" s="8"/>
      <c r="O62" s="8"/>
    </row>
    <row r="63" spans="2:18" ht="15" customHeight="1" thickBot="1" x14ac:dyDescent="0.25">
      <c r="D63" s="146"/>
      <c r="E63" s="145"/>
      <c r="F63" s="145"/>
      <c r="J63" s="8"/>
      <c r="K63" s="8"/>
      <c r="L63" s="8"/>
      <c r="M63" s="2"/>
      <c r="N63" s="8"/>
      <c r="O63" s="8" t="s">
        <v>23</v>
      </c>
    </row>
    <row r="64" spans="2:18" ht="15" customHeight="1" thickBot="1" x14ac:dyDescent="0.25">
      <c r="D64" s="147"/>
      <c r="E64" s="145"/>
      <c r="F64" s="38"/>
      <c r="J64" s="8" t="s">
        <v>18</v>
      </c>
      <c r="K64" s="8" t="s">
        <v>19</v>
      </c>
      <c r="L64" s="8"/>
      <c r="M64" s="2"/>
      <c r="N64" s="25"/>
      <c r="O64" s="25"/>
    </row>
    <row r="65" spans="4:15" ht="15.75" customHeight="1" thickBot="1" x14ac:dyDescent="0.25">
      <c r="D65" s="147"/>
      <c r="E65" s="145"/>
      <c r="F65" s="38"/>
      <c r="J65" s="8" t="s">
        <v>20</v>
      </c>
      <c r="K65" s="8" t="s">
        <v>21</v>
      </c>
      <c r="L65" s="8" t="s">
        <v>22</v>
      </c>
      <c r="M65" s="2" t="s">
        <v>24</v>
      </c>
      <c r="N65" s="8" t="s">
        <v>22</v>
      </c>
      <c r="O65" s="2" t="s">
        <v>87</v>
      </c>
    </row>
    <row r="66" spans="4:15" ht="15" customHeight="1" thickBot="1" x14ac:dyDescent="0.25">
      <c r="J66" s="8"/>
      <c r="K66" s="8"/>
      <c r="L66" s="8" t="s">
        <v>23</v>
      </c>
      <c r="M66" s="2" t="s">
        <v>68</v>
      </c>
      <c r="N66" s="8" t="s">
        <v>23</v>
      </c>
      <c r="O66" s="2" t="s">
        <v>68</v>
      </c>
    </row>
    <row r="67" spans="4:15" ht="15" customHeight="1" thickBot="1" x14ac:dyDescent="0.25">
      <c r="J67" s="26" t="s">
        <v>24</v>
      </c>
      <c r="K67" s="8" t="s">
        <v>88</v>
      </c>
      <c r="L67" s="8"/>
      <c r="M67" s="2"/>
      <c r="N67" s="8"/>
      <c r="O67" s="2"/>
    </row>
    <row r="68" spans="4:15" ht="15" customHeight="1" thickBot="1" x14ac:dyDescent="0.25">
      <c r="J68" s="8" t="s">
        <v>68</v>
      </c>
      <c r="K68" s="8"/>
      <c r="L68" s="8"/>
      <c r="M68" s="2"/>
      <c r="N68" s="2"/>
      <c r="O68" s="2"/>
    </row>
    <row r="69" spans="4:15" ht="15" customHeight="1" thickBot="1" x14ac:dyDescent="0.25">
      <c r="J69" s="8" t="s">
        <v>25</v>
      </c>
      <c r="K69" s="8" t="s">
        <v>26</v>
      </c>
      <c r="L69" s="8"/>
      <c r="M69" s="2"/>
      <c r="N69" s="2"/>
      <c r="O69" s="2"/>
    </row>
    <row r="70" spans="4:15" ht="15" customHeight="1" thickBot="1" x14ac:dyDescent="0.25">
      <c r="J70" s="8"/>
      <c r="K70" s="8" t="s">
        <v>111</v>
      </c>
      <c r="L70" s="8"/>
      <c r="M70" s="2"/>
      <c r="N70" s="2"/>
      <c r="O70" s="2"/>
    </row>
    <row r="71" spans="4:15" ht="15" customHeight="1" thickBot="1" x14ac:dyDescent="0.25">
      <c r="J71" s="8"/>
      <c r="K71" s="8" t="s">
        <v>27</v>
      </c>
      <c r="L71" s="8"/>
      <c r="M71" s="2"/>
      <c r="N71" s="2"/>
      <c r="O71" s="2"/>
    </row>
    <row r="72" spans="4:15" ht="15" customHeight="1" thickBot="1" x14ac:dyDescent="0.25">
      <c r="J72" s="8"/>
      <c r="K72" s="8" t="s">
        <v>28</v>
      </c>
      <c r="L72" s="8"/>
      <c r="M72" s="2"/>
      <c r="N72" s="2"/>
      <c r="O72" s="2"/>
    </row>
    <row r="73" spans="4:15" ht="15" customHeight="1" thickBot="1" x14ac:dyDescent="0.25">
      <c r="J73" s="8"/>
      <c r="K73" s="8" t="s">
        <v>29</v>
      </c>
      <c r="L73" s="8"/>
      <c r="M73" s="2"/>
      <c r="N73" s="2"/>
      <c r="O73" s="2"/>
    </row>
    <row r="74" spans="4:15" ht="15" customHeight="1" thickBot="1" x14ac:dyDescent="0.25">
      <c r="J74" s="8" t="s">
        <v>30</v>
      </c>
      <c r="K74" s="8" t="s">
        <v>22</v>
      </c>
      <c r="L74" s="8" t="s">
        <v>84</v>
      </c>
      <c r="M74" s="2"/>
      <c r="N74" s="2"/>
      <c r="O74" s="2"/>
    </row>
    <row r="75" spans="4:15" ht="15" customHeight="1" thickBot="1" x14ac:dyDescent="0.25">
      <c r="J75" s="8"/>
      <c r="K75" s="8" t="s">
        <v>23</v>
      </c>
      <c r="L75" s="8" t="s">
        <v>68</v>
      </c>
      <c r="M75" s="2"/>
      <c r="N75" s="2"/>
      <c r="O75" s="2"/>
    </row>
    <row r="76" spans="4:15" ht="15" thickBot="1" x14ac:dyDescent="0.25">
      <c r="J76" s="8"/>
      <c r="K76" s="8" t="s">
        <v>22</v>
      </c>
      <c r="L76" s="8" t="s">
        <v>85</v>
      </c>
      <c r="M76" s="2"/>
      <c r="N76" s="2"/>
      <c r="O76" s="2"/>
    </row>
    <row r="77" spans="4:15" ht="15" customHeight="1" thickBot="1" x14ac:dyDescent="0.25">
      <c r="J77" s="8"/>
      <c r="K77" s="8" t="s">
        <v>23</v>
      </c>
      <c r="L77" s="8" t="s">
        <v>68</v>
      </c>
      <c r="M77" s="2"/>
      <c r="N77" s="2"/>
      <c r="O77" s="2"/>
    </row>
    <row r="78" spans="4:15" ht="15" customHeight="1" thickBot="1" x14ac:dyDescent="0.25">
      <c r="J78" s="8" t="s">
        <v>31</v>
      </c>
      <c r="K78" s="8"/>
      <c r="L78" s="8"/>
      <c r="M78" s="2"/>
      <c r="N78" s="2"/>
      <c r="O78" s="2"/>
    </row>
    <row r="79" spans="4:15" ht="14.25" customHeight="1" x14ac:dyDescent="0.2"/>
    <row r="80" spans="4:15" ht="14.25" customHeight="1" x14ac:dyDescent="0.2"/>
    <row r="81" ht="15" customHeight="1" x14ac:dyDescent="0.2"/>
    <row r="82" x14ac:dyDescent="0.2"/>
    <row r="83" x14ac:dyDescent="0.2"/>
    <row r="84" x14ac:dyDescent="0.2"/>
    <row r="85" ht="14.25" customHeight="1" x14ac:dyDescent="0.2"/>
    <row r="86" x14ac:dyDescent="0.2"/>
    <row r="87" x14ac:dyDescent="0.2"/>
    <row r="88" ht="15" customHeight="1" x14ac:dyDescent="0.2"/>
    <row r="89" ht="15" customHeight="1" x14ac:dyDescent="0.2"/>
    <row r="90" x14ac:dyDescent="0.2"/>
    <row r="91" ht="15" customHeight="1" x14ac:dyDescent="0.2"/>
    <row r="92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5" customHeight="1" x14ac:dyDescent="0.2"/>
    <row r="98" x14ac:dyDescent="0.2"/>
    <row r="99" x14ac:dyDescent="0.2"/>
    <row r="100" x14ac:dyDescent="0.2"/>
    <row r="101" ht="14.25" customHeight="1" x14ac:dyDescent="0.2"/>
    <row r="102" x14ac:dyDescent="0.2"/>
    <row r="103" x14ac:dyDescent="0.2"/>
    <row r="104" x14ac:dyDescent="0.2"/>
    <row r="105" x14ac:dyDescent="0.2"/>
    <row r="106" x14ac:dyDescent="0.2"/>
    <row r="107" ht="15" customHeight="1" x14ac:dyDescent="0.2"/>
    <row r="108" x14ac:dyDescent="0.2"/>
    <row r="109" x14ac:dyDescent="0.2"/>
    <row r="110" x14ac:dyDescent="0.2"/>
    <row r="111" x14ac:dyDescent="0.2"/>
    <row r="112" ht="14.25" customHeight="1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ht="14.25" customHeight="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ht="14.25" customHeight="1" x14ac:dyDescent="0.2"/>
    <row r="129" x14ac:dyDescent="0.2"/>
    <row r="130" x14ac:dyDescent="0.2"/>
    <row r="131" x14ac:dyDescent="0.2"/>
    <row r="132" x14ac:dyDescent="0.2"/>
    <row r="133" ht="14.25" customHeight="1" x14ac:dyDescent="0.2"/>
    <row r="134" ht="15" customHeight="1" x14ac:dyDescent="0.2"/>
    <row r="135" x14ac:dyDescent="0.2"/>
    <row r="136" ht="15" customHeight="1" x14ac:dyDescent="0.2"/>
    <row r="137" ht="15" customHeight="1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ht="15" customHeight="1" x14ac:dyDescent="0.2"/>
    <row r="152" ht="14.25" customHeight="1" x14ac:dyDescent="0.2"/>
    <row r="153" ht="14.25" customHeight="1" x14ac:dyDescent="0.2"/>
    <row r="154" x14ac:dyDescent="0.2"/>
    <row r="155" x14ac:dyDescent="0.2"/>
    <row r="156" x14ac:dyDescent="0.2"/>
    <row r="157" x14ac:dyDescent="0.2"/>
  </sheetData>
  <mergeCells count="46">
    <mergeCell ref="B8:F8"/>
    <mergeCell ref="B26:C26"/>
    <mergeCell ref="B3:F3"/>
    <mergeCell ref="E4:F4"/>
    <mergeCell ref="E5:F5"/>
    <mergeCell ref="E6:F6"/>
    <mergeCell ref="E7:F7"/>
    <mergeCell ref="B9:C10"/>
    <mergeCell ref="D9:D10"/>
    <mergeCell ref="B11:B14"/>
    <mergeCell ref="B15:B17"/>
    <mergeCell ref="D15:F15"/>
    <mergeCell ref="D16:F16"/>
    <mergeCell ref="D17:F17"/>
    <mergeCell ref="B18:B20"/>
    <mergeCell ref="E18:E20"/>
    <mergeCell ref="B21:C21"/>
    <mergeCell ref="E21:F21"/>
    <mergeCell ref="B23:C23"/>
    <mergeCell ref="D23:F23"/>
    <mergeCell ref="B24:C24"/>
    <mergeCell ref="D24:F24"/>
    <mergeCell ref="B25:C25"/>
    <mergeCell ref="D25:F25"/>
    <mergeCell ref="B27:C27"/>
    <mergeCell ref="D27:F27"/>
    <mergeCell ref="B37:C37"/>
    <mergeCell ref="D37:F37"/>
    <mergeCell ref="B28:C28"/>
    <mergeCell ref="B30:C30"/>
    <mergeCell ref="E30:F30"/>
    <mergeCell ref="B31:F31"/>
    <mergeCell ref="B32:C32"/>
    <mergeCell ref="D32:F32"/>
    <mergeCell ref="B33:B34"/>
    <mergeCell ref="D33:F33"/>
    <mergeCell ref="D34:F34"/>
    <mergeCell ref="B35:F35"/>
    <mergeCell ref="B36:C36"/>
    <mergeCell ref="D65:E65"/>
    <mergeCell ref="B38:C39"/>
    <mergeCell ref="D38:F39"/>
    <mergeCell ref="D60:E60"/>
    <mergeCell ref="D61:E61"/>
    <mergeCell ref="D63:F63"/>
    <mergeCell ref="D64:E64"/>
  </mergeCells>
  <dataValidations disablePrompts="1" count="8">
    <dataValidation allowBlank="1" showErrorMessage="1" sqref="D21:D22" xr:uid="{00000000-0002-0000-0400-000000000000}"/>
    <dataValidation type="list" allowBlank="1" showInputMessage="1" showErrorMessage="1" sqref="D47" xr:uid="{00000000-0002-0000-0400-000001000000}">
      <formula1>Motor_reductor</formula1>
    </dataValidation>
    <dataValidation type="list" allowBlank="1" showInputMessage="1" showErrorMessage="1" sqref="F64 D46 D48 D42:D43" xr:uid="{00000000-0002-0000-0400-000002000000}">
      <formula1>Yes_No</formula1>
    </dataValidation>
    <dataValidation type="list" allowBlank="1" showInputMessage="1" showErrorMessage="1" sqref="D44" xr:uid="{00000000-0002-0000-0400-000003000000}">
      <formula1>Material</formula1>
    </dataValidation>
    <dataValidation allowBlank="1" showInputMessage="1" showErrorMessage="1" prompt="Please note that by default screws are made of wear-resistant carbon steel." sqref="D30" xr:uid="{00000000-0002-0000-0400-000004000000}"/>
    <dataValidation allowBlank="1" showErrorMessage="1" prompt="Please indicate Cl- concentration if it is higher than 300 mg/l." sqref="D9:D14" xr:uid="{00000000-0002-0000-0400-000005000000}"/>
    <dataValidation allowBlank="1" showErrorMessage="1" prompt="Please note that our dewatering equipment is not designed to be used at a temperature below 0 C." sqref="D36" xr:uid="{00000000-0002-0000-0400-000006000000}"/>
    <dataValidation type="list" allowBlank="1" showInputMessage="1" showErrorMessage="1" sqref="H3" xr:uid="{00000000-0002-0000-0400-000007000000}">
      <formula1>"RUS, ENG, US ENG, POL"</formula1>
    </dataValidation>
  </dataValidation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70</vt:i4>
      </vt:variant>
    </vt:vector>
  </HeadingPairs>
  <TitlesOfParts>
    <vt:vector size="75" baseType="lpstr">
      <vt:lpstr>Screens</vt:lpstr>
      <vt:lpstr>ENG</vt:lpstr>
      <vt:lpstr>RUS</vt:lpstr>
      <vt:lpstr>US ENG</vt:lpstr>
      <vt:lpstr>POL</vt:lpstr>
      <vt:lpstr>ENG!Automatisation</vt:lpstr>
      <vt:lpstr>POL!Automatisation</vt:lpstr>
      <vt:lpstr>RUS!Automatisation</vt:lpstr>
      <vt:lpstr>Screens!Automatisation</vt:lpstr>
      <vt:lpstr>'US ENG'!Automatisation</vt:lpstr>
      <vt:lpstr>ENG!Discharge_height</vt:lpstr>
      <vt:lpstr>POL!Discharge_height</vt:lpstr>
      <vt:lpstr>RUS!Discharge_height</vt:lpstr>
      <vt:lpstr>Screens!Discharge_height</vt:lpstr>
      <vt:lpstr>'US ENG'!Discharge_height</vt:lpstr>
      <vt:lpstr>ENG!Filtering_mesh</vt:lpstr>
      <vt:lpstr>POL!Filtering_mesh</vt:lpstr>
      <vt:lpstr>RUS!Filtering_mesh</vt:lpstr>
      <vt:lpstr>Screens!Filtering_mesh</vt:lpstr>
      <vt:lpstr>'US ENG'!Filtering_mesh</vt:lpstr>
      <vt:lpstr>ENG!Hydraulics2</vt:lpstr>
      <vt:lpstr>POL!Hydraulics2</vt:lpstr>
      <vt:lpstr>RUS!Hydraulics2</vt:lpstr>
      <vt:lpstr>Screens!Hydraulics2</vt:lpstr>
      <vt:lpstr>'US ENG'!Hydraulics2</vt:lpstr>
      <vt:lpstr>ENG!Installation</vt:lpstr>
      <vt:lpstr>POL!Installation</vt:lpstr>
      <vt:lpstr>RUS!Installation</vt:lpstr>
      <vt:lpstr>Screens!Installation</vt:lpstr>
      <vt:lpstr>'US ENG'!Installation</vt:lpstr>
      <vt:lpstr>ENG!Location</vt:lpstr>
      <vt:lpstr>POL!Location</vt:lpstr>
      <vt:lpstr>RUS!Location</vt:lpstr>
      <vt:lpstr>Screens!Location</vt:lpstr>
      <vt:lpstr>'US ENG'!Location</vt:lpstr>
      <vt:lpstr>ENG!Material</vt:lpstr>
      <vt:lpstr>POL!Material</vt:lpstr>
      <vt:lpstr>RUS!Material</vt:lpstr>
      <vt:lpstr>Screens!Material</vt:lpstr>
      <vt:lpstr>'US ENG'!Material</vt:lpstr>
      <vt:lpstr>ENG!Motor_reductor</vt:lpstr>
      <vt:lpstr>POL!Motor_reductor</vt:lpstr>
      <vt:lpstr>RUS!Motor_reductor</vt:lpstr>
      <vt:lpstr>Screens!Motor_reductor</vt:lpstr>
      <vt:lpstr>'US ENG'!Motor_reductor</vt:lpstr>
      <vt:lpstr>ENG!RVO</vt:lpstr>
      <vt:lpstr>POL!RVO</vt:lpstr>
      <vt:lpstr>RUS!RVO</vt:lpstr>
      <vt:lpstr>Screens!RVO</vt:lpstr>
      <vt:lpstr>'US ENG'!RVO</vt:lpstr>
      <vt:lpstr>ENG!Screw_type</vt:lpstr>
      <vt:lpstr>POL!Screw_type</vt:lpstr>
      <vt:lpstr>RUS!Screw_type</vt:lpstr>
      <vt:lpstr>Screens!Screw_type</vt:lpstr>
      <vt:lpstr>'US ENG'!Screw_type</vt:lpstr>
      <vt:lpstr>ENG!WW_feeding</vt:lpstr>
      <vt:lpstr>POL!WW_feeding</vt:lpstr>
      <vt:lpstr>RUS!WW_feeding</vt:lpstr>
      <vt:lpstr>Screens!WW_feeding</vt:lpstr>
      <vt:lpstr>'US ENG'!WW_feeding</vt:lpstr>
      <vt:lpstr>ENG!WW_type</vt:lpstr>
      <vt:lpstr>POL!WW_type</vt:lpstr>
      <vt:lpstr>RUS!WW_type</vt:lpstr>
      <vt:lpstr>Screens!WW_type</vt:lpstr>
      <vt:lpstr>'US ENG'!WW_type</vt:lpstr>
      <vt:lpstr>ENG!Yes_No</vt:lpstr>
      <vt:lpstr>POL!Yes_No</vt:lpstr>
      <vt:lpstr>RUS!Yes_No</vt:lpstr>
      <vt:lpstr>Screens!Yes_No</vt:lpstr>
      <vt:lpstr>'US ENG'!Yes_No</vt:lpstr>
      <vt:lpstr>ENG!ШУ</vt:lpstr>
      <vt:lpstr>POL!ШУ</vt:lpstr>
      <vt:lpstr>RUS!ШУ</vt:lpstr>
      <vt:lpstr>Screens!ШУ</vt:lpstr>
      <vt:lpstr>'US ENG'!ШУ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AlaKir</dc:creator>
  <cp:lastModifiedBy>AdminW</cp:lastModifiedBy>
  <cp:lastPrinted>2015-03-13T08:57:19Z</cp:lastPrinted>
  <dcterms:created xsi:type="dcterms:W3CDTF">2015-02-12T07:11:34Z</dcterms:created>
  <dcterms:modified xsi:type="dcterms:W3CDTF">2023-02-03T07:37:06Z</dcterms:modified>
</cp:coreProperties>
</file>